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195" windowHeight="8700" tabRatio="939" activeTab="0"/>
  </bookViews>
  <sheets>
    <sheet name="Instructions" sheetId="1" r:id="rId1"/>
    <sheet name="Tax Return Instructions" sheetId="2" r:id="rId2"/>
    <sheet name="Example - New Vol" sheetId="3" r:id="rId3"/>
    <sheet name="Example - Full Year Vol" sheetId="4" r:id="rId4"/>
    <sheet name="Example - Finishing Vol" sheetId="5" r:id="rId5"/>
    <sheet name="Example - Extending Vol" sheetId="6" r:id="rId6"/>
    <sheet name="Albania" sheetId="7" r:id="rId7"/>
    <sheet name="Armenia" sheetId="8" r:id="rId8"/>
    <sheet name="Azerbaijan" sheetId="9" r:id="rId9"/>
    <sheet name="Belize" sheetId="10" r:id="rId10"/>
    <sheet name="Benin" sheetId="11" r:id="rId11"/>
    <sheet name="Botswana" sheetId="12" r:id="rId12"/>
    <sheet name="Bulgaria" sheetId="13" r:id="rId13"/>
    <sheet name="Burkina Faso" sheetId="14" r:id="rId14"/>
    <sheet name="Cameroon" sheetId="15" r:id="rId15"/>
    <sheet name="Cambodia" sheetId="16" r:id="rId16"/>
    <sheet name="Cape Verde" sheetId="17" r:id="rId17"/>
    <sheet name="China" sheetId="18" r:id="rId18"/>
    <sheet name="Costa Rica" sheetId="19" r:id="rId19"/>
    <sheet name="Dominican Republic" sheetId="20" r:id="rId20"/>
    <sheet name="Eastern Caribbean" sheetId="21" r:id="rId21"/>
    <sheet name="Ecuador" sheetId="22" r:id="rId22"/>
    <sheet name="El Salvador" sheetId="23" r:id="rId23"/>
    <sheet name="Ethiopia" sheetId="24" r:id="rId24"/>
    <sheet name="Fiji" sheetId="25" r:id="rId25"/>
    <sheet name="The Gambia" sheetId="26" r:id="rId26"/>
    <sheet name="Georgia" sheetId="27" r:id="rId27"/>
    <sheet name="Ghana" sheetId="28" r:id="rId28"/>
    <sheet name="Guatemala" sheetId="29" r:id="rId29"/>
    <sheet name="Guinea" sheetId="30" r:id="rId30"/>
    <sheet name="Guyana" sheetId="31" r:id="rId31"/>
    <sheet name="Honduras" sheetId="32" r:id="rId32"/>
    <sheet name="Jamaica" sheetId="33" r:id="rId33"/>
    <sheet name="Jordan" sheetId="34" r:id="rId34"/>
    <sheet name="Kazakhstan" sheetId="35" r:id="rId35"/>
    <sheet name="Kenya" sheetId="36" r:id="rId36"/>
    <sheet name="Kyrgyz Republic" sheetId="37" r:id="rId37"/>
    <sheet name="Lesotho" sheetId="38" r:id="rId38"/>
    <sheet name="Liberia" sheetId="39" r:id="rId39"/>
    <sheet name="Macedonia" sheetId="40" r:id="rId40"/>
    <sheet name="Madagascar" sheetId="41" r:id="rId41"/>
    <sheet name="Malawi" sheetId="42" r:id="rId42"/>
    <sheet name="Mali" sheetId="43" r:id="rId43"/>
    <sheet name="Mauritania" sheetId="44" r:id="rId44"/>
    <sheet name="Mexico" sheetId="45" r:id="rId45"/>
    <sheet name="Micronesia" sheetId="46" r:id="rId46"/>
    <sheet name="Moldova" sheetId="47" r:id="rId47"/>
    <sheet name="Mongolia" sheetId="48" r:id="rId48"/>
    <sheet name="Morocco" sheetId="49" r:id="rId49"/>
    <sheet name="Mozambique" sheetId="50" r:id="rId50"/>
    <sheet name="Namibia" sheetId="51" r:id="rId51"/>
    <sheet name="Nicaragua" sheetId="52" r:id="rId52"/>
    <sheet name="Niger" sheetId="53" r:id="rId53"/>
    <sheet name="Panama" sheetId="54" r:id="rId54"/>
    <sheet name="Paraguay" sheetId="55" r:id="rId55"/>
    <sheet name="Peru" sheetId="56" r:id="rId56"/>
    <sheet name="Philippines" sheetId="57" r:id="rId57"/>
    <sheet name="Romania" sheetId="58" r:id="rId58"/>
    <sheet name="Rwanda" sheetId="59" r:id="rId59"/>
    <sheet name="Samoa" sheetId="60" r:id="rId60"/>
    <sheet name="Senegal" sheetId="61" r:id="rId61"/>
    <sheet name="South Africa" sheetId="62" r:id="rId62"/>
    <sheet name="Suriname" sheetId="63" r:id="rId63"/>
    <sheet name="Swaziland" sheetId="64" r:id="rId64"/>
    <sheet name="Tanzania" sheetId="65" r:id="rId65"/>
    <sheet name="Thailand" sheetId="66" r:id="rId66"/>
    <sheet name="Togo" sheetId="67" r:id="rId67"/>
    <sheet name="Tonga" sheetId="68" r:id="rId68"/>
    <sheet name="Turkmenistan" sheetId="69" r:id="rId69"/>
    <sheet name="Uganda" sheetId="70" r:id="rId70"/>
    <sheet name="Ukraine" sheetId="71" r:id="rId71"/>
    <sheet name="Vanuatu" sheetId="72" r:id="rId72"/>
    <sheet name="Zambia" sheetId="73" r:id="rId73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<sst xmlns="http://schemas.openxmlformats.org/spreadsheetml/2006/main" count="5213" uniqueCount="369">
  <si>
    <t>Complete the information in this grey box
to calculate your taxable allowances</t>
  </si>
  <si>
    <t>Country</t>
  </si>
  <si>
    <t>Volunteer Name</t>
  </si>
  <si>
    <t>VolunteerName</t>
  </si>
  <si>
    <t>Pre-Service Training Walk-Around Allowance</t>
  </si>
  <si>
    <t>Your taxable amount is the full amount for the PST you attended. If you did not attend PST, amount is $0.</t>
  </si>
  <si>
    <t>Pre-Service Training</t>
  </si>
  <si>
    <t>PST attended</t>
  </si>
  <si>
    <t>PST
Start Date</t>
  </si>
  <si>
    <t>PST
End Date</t>
  </si>
  <si>
    <t>Total
PST days</t>
  </si>
  <si>
    <t>Daily
Amount</t>
  </si>
  <si>
    <t>PST
Taxable Amount</t>
  </si>
  <si>
    <t>Total Taxable PST Walk-Around Allowance</t>
  </si>
  <si>
    <t>Living Allowance</t>
  </si>
  <si>
    <t>Time at Each Pay Rate (do not include time at staging or PST)</t>
  </si>
  <si>
    <t>e.g., PST ends 4/27, you start 4/28 &amp; have 3 days of service in Apr (28-29-30)</t>
  </si>
  <si>
    <t>FAFSA Untaxed Income</t>
  </si>
  <si>
    <t>Full
Months</t>
  </si>
  <si>
    <t>Days in 29-day month</t>
  </si>
  <si>
    <t>Days in 30-day month</t>
  </si>
  <si>
    <t>Days in 31-day month</t>
  </si>
  <si>
    <t>Total</t>
  </si>
  <si>
    <t xml:space="preserve">Region </t>
  </si>
  <si>
    <t>Months</t>
  </si>
  <si>
    <t>Monthly
Gross Amount</t>
  </si>
  <si>
    <t>Taxable
Portion</t>
  </si>
  <si>
    <t>Monthly
Taxable Amount</t>
  </si>
  <si>
    <t>Jan - Dec</t>
  </si>
  <si>
    <t>Total Taxable Living Allowance</t>
  </si>
  <si>
    <t>Monthly Leave Allowance</t>
  </si>
  <si>
    <t>Special Leave Allowance</t>
  </si>
  <si>
    <t>Leave Allowance  (Calculated; do not enter)</t>
  </si>
  <si>
    <t>Special
Leave</t>
  </si>
  <si>
    <t>Taxable amount is your full months excluding PST * $24.
For partial months, $12 or $24 based on days of service in that month.</t>
  </si>
  <si>
    <t>For PCVs who extend service
12 months beyond the 2nd year</t>
  </si>
  <si>
    <t>plus
16+ day
Months</t>
  </si>
  <si>
    <t>plus
0-15 day
Months</t>
  </si>
  <si>
    <t>equals
Total
Leave Mos.</t>
  </si>
  <si>
    <t>Days of Special Leave</t>
  </si>
  <si>
    <t>Daily
Taxable Amount</t>
  </si>
  <si>
    <t>Total Taxable Leave Allowance</t>
  </si>
  <si>
    <t>Sub-total Taxable Allowances</t>
  </si>
  <si>
    <t>Re-Adjustment Allowance Earned (from the W-2)</t>
  </si>
  <si>
    <t>Re-Adjustment Allowance Earned</t>
  </si>
  <si>
    <t>Amount shown in Box 1 on the W-2</t>
  </si>
  <si>
    <r>
      <t xml:space="preserve">Tax Questions?  Email:   </t>
    </r>
    <r>
      <rPr>
        <b/>
        <sz val="11"/>
        <color indexed="12"/>
        <rFont val="Arial"/>
        <family val="2"/>
      </rPr>
      <t>taxhelp@peacecorps.gov</t>
    </r>
  </si>
  <si>
    <r>
      <t>1</t>
    </r>
    <r>
      <rPr>
        <sz val="10"/>
        <rFont val="Arial"/>
        <family val="2"/>
      </rPr>
      <t xml:space="preserve"> if you attended this PST,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not</t>
    </r>
  </si>
  <si>
    <t>Taxable Allowances 2009</t>
  </si>
  <si>
    <t>Jan xx - Dec xx, 2009</t>
  </si>
  <si>
    <t>Urban</t>
  </si>
  <si>
    <t>Jan - May</t>
  </si>
  <si>
    <t>Jun- Dec</t>
  </si>
  <si>
    <t>2009 Dates of Service</t>
  </si>
  <si>
    <t>Total Taxable Allowances for 2009</t>
  </si>
  <si>
    <t>Use a Substitute W-2 to report all taxable allowances on the wages line of your tax return.</t>
  </si>
  <si>
    <t>Volunteer 2009 Taxable Amount</t>
  </si>
  <si>
    <r>
      <t>***</t>
    </r>
    <r>
      <rPr>
        <b/>
        <sz val="14"/>
        <rFont val="Arial"/>
        <family val="2"/>
      </rPr>
      <t xml:space="preserve"> PCVs - Fill in ONLY the </t>
    </r>
    <r>
      <rPr>
        <b/>
        <sz val="14"/>
        <color indexed="12"/>
        <rFont val="Arial"/>
        <family val="2"/>
      </rPr>
      <t>BLUE</t>
    </r>
    <r>
      <rPr>
        <b/>
        <sz val="14"/>
        <rFont val="Arial"/>
        <family val="2"/>
      </rPr>
      <t>/</t>
    </r>
    <r>
      <rPr>
        <b/>
        <sz val="14"/>
        <color indexed="17"/>
        <rFont val="Arial"/>
        <family val="2"/>
      </rPr>
      <t xml:space="preserve">GREEN </t>
    </r>
    <r>
      <rPr>
        <b/>
        <sz val="14"/>
        <rFont val="Arial"/>
        <family val="2"/>
      </rPr>
      <t xml:space="preserve">CELLS </t>
    </r>
    <r>
      <rPr>
        <b/>
        <sz val="14"/>
        <color indexed="10"/>
        <rFont val="Arial"/>
        <family val="2"/>
      </rPr>
      <t>***</t>
    </r>
  </si>
  <si>
    <t>Taxable amount is full months of service in 2009 excluding PST * the monthly amount for your region.
For partial months, use (your days of service / days in that month) * the monthly amount for your region.</t>
  </si>
  <si>
    <t>Vanuatu</t>
  </si>
  <si>
    <t>2009 Service Dates</t>
  </si>
  <si>
    <t>Semi-Urban</t>
  </si>
  <si>
    <t>Rural</t>
  </si>
  <si>
    <t>Albania</t>
  </si>
  <si>
    <t>All</t>
  </si>
  <si>
    <t>China</t>
  </si>
  <si>
    <t>Thailand</t>
  </si>
  <si>
    <t>Micronesia</t>
  </si>
  <si>
    <t>Namibia</t>
  </si>
  <si>
    <t>Mongolia</t>
  </si>
  <si>
    <t>Jordan</t>
  </si>
  <si>
    <t>FSM</t>
  </si>
  <si>
    <t>Palau</t>
  </si>
  <si>
    <t>Ulaanbaatar</t>
  </si>
  <si>
    <t>Countryside</t>
  </si>
  <si>
    <t>Special Aimags</t>
  </si>
  <si>
    <t>Jan - Apr</t>
  </si>
  <si>
    <t>Swaziland</t>
  </si>
  <si>
    <t>Togo</t>
  </si>
  <si>
    <t>South Africa</t>
  </si>
  <si>
    <t>Jan xx - Dec xx , 2009</t>
  </si>
  <si>
    <t>Kyrgyz Republic</t>
  </si>
  <si>
    <t>Jan - Nov</t>
  </si>
  <si>
    <t>Semi-Urban (a)</t>
  </si>
  <si>
    <t>K-17 PCVs swore in on 06/11/09</t>
  </si>
  <si>
    <t>Tier 1</t>
  </si>
  <si>
    <t>Tier 2</t>
  </si>
  <si>
    <t>Tier 3</t>
  </si>
  <si>
    <t>Jan - Mar</t>
  </si>
  <si>
    <t>April</t>
  </si>
  <si>
    <t>May - Sept</t>
  </si>
  <si>
    <t>Oct - Dec</t>
  </si>
  <si>
    <t>Tier 1/K-17</t>
  </si>
  <si>
    <t>Tier 2/K-17</t>
  </si>
  <si>
    <t>Tier 3/K-17</t>
  </si>
  <si>
    <t xml:space="preserve"> 20 days in Jun</t>
  </si>
  <si>
    <t>Ecuador</t>
  </si>
  <si>
    <t xml:space="preserve"> Dec</t>
  </si>
  <si>
    <t>Level 1</t>
  </si>
  <si>
    <t>Level 2</t>
  </si>
  <si>
    <t>Level 3</t>
  </si>
  <si>
    <t>Eastern Caribbean</t>
  </si>
  <si>
    <t>St. Lucia</t>
  </si>
  <si>
    <t>St. Vincent</t>
  </si>
  <si>
    <t>St. Kitts and Nevis</t>
  </si>
  <si>
    <t>Grenada</t>
  </si>
  <si>
    <t>Antigua and Barbuda</t>
  </si>
  <si>
    <t>Dominica</t>
  </si>
  <si>
    <t>Mexico</t>
  </si>
  <si>
    <t>Urban-Singles (Zona A)</t>
  </si>
  <si>
    <t>Urban-Couples (Zona A)</t>
  </si>
  <si>
    <t>Semi-Urban-Singles (Zona B)</t>
  </si>
  <si>
    <t>Semi-Urban-Couples (Zona B)</t>
  </si>
  <si>
    <t>Semi-Rural-Singles (Zona C)</t>
  </si>
  <si>
    <t>Semi-Rural-Couples (Zona C)</t>
  </si>
  <si>
    <t>Lesotho</t>
  </si>
  <si>
    <t>Guatemala</t>
  </si>
  <si>
    <t>Madagascar</t>
  </si>
  <si>
    <t>Mali</t>
  </si>
  <si>
    <t>Group 1</t>
  </si>
  <si>
    <t>Group 2</t>
  </si>
  <si>
    <t>Group 3</t>
  </si>
  <si>
    <t>Group 4</t>
  </si>
  <si>
    <t>Bamako</t>
  </si>
  <si>
    <t>Regional Capital</t>
  </si>
  <si>
    <t>Jan</t>
  </si>
  <si>
    <t>Feb</t>
  </si>
  <si>
    <t>Mar</t>
  </si>
  <si>
    <t>Nov</t>
  </si>
  <si>
    <t>Dec</t>
  </si>
  <si>
    <t>Apr - Oct</t>
  </si>
  <si>
    <t>(Evacuation)</t>
  </si>
  <si>
    <t>Cameroon</t>
  </si>
  <si>
    <t>Moldova</t>
  </si>
  <si>
    <t>Kenya</t>
  </si>
  <si>
    <t>May - Dec</t>
  </si>
  <si>
    <t>Jun - Dec</t>
  </si>
  <si>
    <t>Ukraine</t>
  </si>
  <si>
    <t>Jan - Sept</t>
  </si>
  <si>
    <t>Dec 4-31</t>
  </si>
  <si>
    <t>Semi-Urban/Rural</t>
  </si>
  <si>
    <t>(ARBD &amp; COD groups)</t>
  </si>
  <si>
    <t>(EE &amp; HESC groups)</t>
  </si>
  <si>
    <t>Apr</t>
  </si>
  <si>
    <t>May</t>
  </si>
  <si>
    <t>Jun</t>
  </si>
  <si>
    <t>Jul</t>
  </si>
  <si>
    <t>Aug</t>
  </si>
  <si>
    <t>Sept</t>
  </si>
  <si>
    <t>Oct</t>
  </si>
  <si>
    <t>All Groups except Gr#36-37 PCVs</t>
  </si>
  <si>
    <t>Gr# 36 PCVs</t>
  </si>
  <si>
    <t>All Groups except Gr#37 PCVs</t>
  </si>
  <si>
    <t>Gr# 37 PCVs</t>
  </si>
  <si>
    <t>Honduras</t>
  </si>
  <si>
    <t>Urban (Tier I)</t>
  </si>
  <si>
    <t>Urban (Tier II)</t>
  </si>
  <si>
    <t>Semi-Urban (Tier III)</t>
  </si>
  <si>
    <t>Rural (Tier IV)</t>
  </si>
  <si>
    <t>Niger</t>
  </si>
  <si>
    <t>Semi-Urban (b)</t>
  </si>
  <si>
    <t>Macedonia</t>
  </si>
  <si>
    <t>Jun - Nov</t>
  </si>
  <si>
    <t>Rwanda</t>
  </si>
  <si>
    <t>Azerbaijan</t>
  </si>
  <si>
    <t>Apr - Jun</t>
  </si>
  <si>
    <t>Jul - Sept</t>
  </si>
  <si>
    <t>AZ-7 PCV group Dec</t>
  </si>
  <si>
    <t>Morocco</t>
  </si>
  <si>
    <t>TG-09-01 (61 PCVs)</t>
  </si>
  <si>
    <t>All but TG-09-01</t>
  </si>
  <si>
    <t>All but TG-09-02</t>
  </si>
  <si>
    <t>TG-09-02 (57 PCVs)</t>
  </si>
  <si>
    <t>May - Jun</t>
  </si>
  <si>
    <t>Jul - Nov</t>
  </si>
  <si>
    <t>May - Jun/PCVs stay with HF</t>
  </si>
  <si>
    <t xml:space="preserve"> Nov/Only 18 days of $129.70 Living Allowance PCVs stay with HF</t>
  </si>
  <si>
    <t xml:space="preserve"> Dec/PCVs stay with HF</t>
  </si>
  <si>
    <t>Samoa</t>
  </si>
  <si>
    <t>Philippines</t>
  </si>
  <si>
    <t>Nicaragua</t>
  </si>
  <si>
    <t>Liberia</t>
  </si>
  <si>
    <t>N/A</t>
  </si>
  <si>
    <t>Romania</t>
  </si>
  <si>
    <t>Apr - May</t>
  </si>
  <si>
    <t>Jun - Oct</t>
  </si>
  <si>
    <t>Nov - Dec</t>
  </si>
  <si>
    <t>Mauritania</t>
  </si>
  <si>
    <t>Jan - Jul</t>
  </si>
  <si>
    <t xml:space="preserve">Jan - May </t>
  </si>
  <si>
    <t>Jun - Jul</t>
  </si>
  <si>
    <t xml:space="preserve"> Aug</t>
  </si>
  <si>
    <t>Guyana</t>
  </si>
  <si>
    <t>Turkmenistan</t>
  </si>
  <si>
    <t>Armenia</t>
  </si>
  <si>
    <t>All (For couples -wife)</t>
  </si>
  <si>
    <t>Tanzania</t>
  </si>
  <si>
    <t>Zanzibar</t>
  </si>
  <si>
    <t>Mainland</t>
  </si>
  <si>
    <t>Mozambique</t>
  </si>
  <si>
    <t>Uganda</t>
  </si>
  <si>
    <t>Malawi</t>
  </si>
  <si>
    <t>Kazakhstan</t>
  </si>
  <si>
    <t>Belize</t>
  </si>
  <si>
    <t>Fiji</t>
  </si>
  <si>
    <t>Suriname</t>
  </si>
  <si>
    <t>Cape Verde</t>
  </si>
  <si>
    <t>Georgia</t>
  </si>
  <si>
    <t>Burkina Faso</t>
  </si>
  <si>
    <t>Benin</t>
  </si>
  <si>
    <t>Guinea</t>
  </si>
  <si>
    <t>Senegal</t>
  </si>
  <si>
    <t>Costa Rica</t>
  </si>
  <si>
    <t>Ethiopia</t>
  </si>
  <si>
    <t>Panama</t>
  </si>
  <si>
    <t>Botswana</t>
  </si>
  <si>
    <t>Tonga</t>
  </si>
  <si>
    <t>NGO</t>
  </si>
  <si>
    <t>CCB, DAC, Life Skills</t>
  </si>
  <si>
    <t>Small Town</t>
  </si>
  <si>
    <t>Zonal Capital</t>
  </si>
  <si>
    <t>Dakar</t>
  </si>
  <si>
    <t>Midsize Town</t>
  </si>
  <si>
    <t>Jan - Oct</t>
  </si>
  <si>
    <t>Aug 21 - Oct</t>
  </si>
  <si>
    <t>Tier 4 (Belize City)</t>
  </si>
  <si>
    <t>Tier 1 (Village)</t>
  </si>
  <si>
    <t>Tier 3 (Belmopan)</t>
  </si>
  <si>
    <t>Tier 2 (District Town)</t>
  </si>
  <si>
    <t>Kaz 18, 19, and 20</t>
  </si>
  <si>
    <t>Aug - Dec</t>
  </si>
  <si>
    <t>Tier 4</t>
  </si>
  <si>
    <t>Tier 5</t>
  </si>
  <si>
    <t>Kaz 21</t>
  </si>
  <si>
    <t>PCRVs</t>
  </si>
  <si>
    <t>Semi-Rural</t>
  </si>
  <si>
    <t>Ghana</t>
  </si>
  <si>
    <t>Bulgaria</t>
  </si>
  <si>
    <t>Cambodia</t>
  </si>
  <si>
    <t>Dominican Republic</t>
  </si>
  <si>
    <t>The Gambia</t>
  </si>
  <si>
    <t>Jamaica</t>
  </si>
  <si>
    <t>Paraguay</t>
  </si>
  <si>
    <t>Peru</t>
  </si>
  <si>
    <t>Zambia</t>
  </si>
  <si>
    <t>City</t>
  </si>
  <si>
    <t>El Salvador</t>
  </si>
  <si>
    <t>Jan - Aug</t>
  </si>
  <si>
    <t>Level I (Capital)</t>
  </si>
  <si>
    <t>Level IV (Campo)</t>
  </si>
  <si>
    <t>PCVL</t>
  </si>
  <si>
    <t>Level III (Pueblos)</t>
  </si>
  <si>
    <t>Sept - Dec</t>
  </si>
  <si>
    <t xml:space="preserve">Level II </t>
  </si>
  <si>
    <t>Standard</t>
  </si>
  <si>
    <t>Urban or Commuter</t>
  </si>
  <si>
    <t>Urban &amp; Commuter</t>
  </si>
  <si>
    <t>Sept - Nov</t>
  </si>
  <si>
    <t>Jun- Aug</t>
  </si>
  <si>
    <t>Mar - May</t>
  </si>
  <si>
    <t>Jan - Feb</t>
  </si>
  <si>
    <t>Big Cities</t>
  </si>
  <si>
    <t>Medium Cities</t>
  </si>
  <si>
    <t>Jan- Dec</t>
  </si>
  <si>
    <t>Apr - Sept</t>
  </si>
  <si>
    <t>To do this, you need to know:</t>
  </si>
  <si>
    <t>* The volunteer's name and country of service</t>
  </si>
  <si>
    <t>* Living allowance region, if applicable (some countries have different pay rates for city and countryside)</t>
  </si>
  <si>
    <t>* Days of Special Leave taken, if applicable (only for volunteers who extend service to a 3rd year)</t>
  </si>
  <si>
    <t>* The amount of wages on the volunteer's W-2 statement</t>
  </si>
  <si>
    <t>To complete the worksheet, follow these steps:</t>
  </si>
  <si>
    <t>1. Find the tab for the volunteer's country of service</t>
  </si>
  <si>
    <t>2. Enter the volunteer's name and dates of service in the green-shaded cells with blue text</t>
  </si>
  <si>
    <t>Enter data only in cells that look like this</t>
  </si>
  <si>
    <t>Do NOT type in cells that look like this</t>
  </si>
  <si>
    <t>4. Find the right living allowance region for the volunteer</t>
  </si>
  <si>
    <t>a. If you do not know which living allowance region is correct, contact the Administrative Officer in that country.</t>
  </si>
  <si>
    <t>5.  Enter the number of full months and days of service after Pre-service training ended</t>
  </si>
  <si>
    <t>a. If PST ended on Jul 12, you served 19 days after PST.  Enter '19' in the column "Days in a 31-day month"</t>
  </si>
  <si>
    <t>b  If there was a rate change during the year, be sure to put the correct number of months and days at each rate.</t>
  </si>
  <si>
    <t>a. This is only for volunteers who extend service 12 months or more beyond their original 27-month commitment</t>
  </si>
  <si>
    <t>7. Enter the amount on the volunteer's W-2</t>
  </si>
  <si>
    <t>** You now have a complete calculation of the amount that volunteers should report on their income tax return. **</t>
  </si>
  <si>
    <r>
      <t>Be sure to</t>
    </r>
    <r>
      <rPr>
        <b/>
        <sz val="12"/>
        <rFont val="Arial"/>
        <family val="2"/>
      </rPr>
      <t xml:space="preserve"> review the </t>
    </r>
    <r>
      <rPr>
        <b/>
        <sz val="12"/>
        <color indexed="10"/>
        <rFont val="Arial"/>
        <family val="2"/>
      </rPr>
      <t>'Tax Return Instructions'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tab in this file</t>
    </r>
  </si>
  <si>
    <t>The untaxed amount, used by FAFSA applicants is also calculated for you.</t>
  </si>
  <si>
    <r>
      <t>The next few sheets show example calculations</t>
    </r>
    <r>
      <rPr>
        <sz val="12"/>
        <rFont val="Arial"/>
        <family val="2"/>
      </rPr>
      <t xml:space="preserve">.  If you have any questions, email: </t>
    </r>
    <r>
      <rPr>
        <sz val="12"/>
        <color indexed="20"/>
        <rFont val="Arial"/>
        <family val="2"/>
      </rPr>
      <t xml:space="preserve"> </t>
    </r>
    <r>
      <rPr>
        <b/>
        <sz val="12"/>
        <color indexed="20"/>
        <rFont val="Arial"/>
        <family val="2"/>
      </rPr>
      <t>taxhelp@peacecorps.gov</t>
    </r>
  </si>
  <si>
    <t>This worksheet will allow you to calculate a Volunteer's 2009 taxable allowances</t>
  </si>
  <si>
    <t>* 2009 dates of service</t>
  </si>
  <si>
    <t>* Pre-service training group, if applicable (only volunteers who started in 2009)</t>
  </si>
  <si>
    <r>
      <t>3. Type '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' next to the pre-service training group the volunteer attended in 2009</t>
    </r>
  </si>
  <si>
    <t>6. Enter the number of days of Special Leave taken in 2009.</t>
  </si>
  <si>
    <t>How to Enter Peace Corps Taxable Allowances on the Federal Income Tax Return</t>
  </si>
  <si>
    <r>
      <t>Do not</t>
    </r>
    <r>
      <rPr>
        <sz val="10"/>
        <rFont val="Arial"/>
        <family val="2"/>
      </rPr>
      <t xml:space="preserve"> enter the information from your W-2 into the tax return.
You should use </t>
    </r>
    <r>
      <rPr>
        <b/>
        <sz val="10"/>
        <color indexed="10"/>
        <rFont val="Arial"/>
        <family val="2"/>
      </rPr>
      <t>IRS Form 4852</t>
    </r>
    <r>
      <rPr>
        <sz val="10"/>
        <rFont val="Arial"/>
        <family val="2"/>
      </rPr>
      <t xml:space="preserve"> (available at www.irs.gov ) to create
a </t>
    </r>
    <r>
      <rPr>
        <b/>
        <sz val="10"/>
        <color indexed="10"/>
        <rFont val="Arial"/>
        <family val="2"/>
      </rPr>
      <t xml:space="preserve">Substitute W-2 </t>
    </r>
    <r>
      <rPr>
        <sz val="10"/>
        <rFont val="Arial"/>
        <family val="2"/>
      </rPr>
      <t>which will include all of your taxable Peace Corps income.</t>
    </r>
  </si>
  <si>
    <r>
      <t xml:space="preserve">Complete and </t>
    </r>
    <r>
      <rPr>
        <b/>
        <sz val="10"/>
        <color indexed="10"/>
        <rFont val="Arial"/>
        <family val="2"/>
      </rPr>
      <t>attach Form 4852</t>
    </r>
    <r>
      <rPr>
        <sz val="10"/>
        <rFont val="Arial"/>
        <family val="2"/>
      </rPr>
      <t xml:space="preserve"> to your return</t>
    </r>
    <r>
      <rPr>
        <b/>
        <sz val="10"/>
        <color indexed="10"/>
        <rFont val="Arial"/>
        <family val="2"/>
      </rPr>
      <t xml:space="preserve"> if paper filing.
Don't attach the W-2</t>
    </r>
    <r>
      <rPr>
        <sz val="10"/>
        <rFont val="Arial"/>
        <family val="2"/>
      </rPr>
      <t xml:space="preserve"> you recieved in the mail.</t>
    </r>
  </si>
  <si>
    <r>
      <t>If you are using</t>
    </r>
    <r>
      <rPr>
        <b/>
        <sz val="10"/>
        <color indexed="10"/>
        <rFont val="Arial"/>
        <family val="2"/>
      </rPr>
      <t xml:space="preserve"> tax software</t>
    </r>
    <r>
      <rPr>
        <sz val="10"/>
        <rFont val="Arial"/>
        <family val="2"/>
      </rPr>
      <t xml:space="preserve">, search for Substitute W-2 in the help file.
    If you are using </t>
    </r>
    <r>
      <rPr>
        <b/>
        <i/>
        <sz val="10"/>
        <rFont val="Arial"/>
        <family val="2"/>
      </rPr>
      <t>TurboTax</t>
    </r>
    <r>
      <rPr>
        <sz val="10"/>
        <rFont val="Arial"/>
        <family val="2"/>
      </rPr>
      <t xml:space="preserve">, ignore these instructions and go to: </t>
    </r>
    <r>
      <rPr>
        <u val="single"/>
        <sz val="10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    </t>
    </r>
    <r>
      <rPr>
        <u val="single"/>
        <sz val="10"/>
        <color indexed="12"/>
        <rFont val="Arial"/>
        <family val="2"/>
      </rPr>
      <t>http://turbotax.intuit.com/support/kb/tax-content/tax-tips/7395.html</t>
    </r>
  </si>
  <si>
    <t>1. Enter the information from your Peace Corps W-2</t>
  </si>
  <si>
    <t>2. Enter your Taxable Allowances</t>
  </si>
  <si>
    <t>Box 1</t>
  </si>
  <si>
    <t>Wages, tips, other compensation</t>
  </si>
  <si>
    <t>PST Walk-Around Allowance</t>
  </si>
  <si>
    <t>Box 2</t>
  </si>
  <si>
    <t>Federal Income tax withheld</t>
  </si>
  <si>
    <t>Box 3</t>
  </si>
  <si>
    <r>
      <t>Social security wages</t>
    </r>
  </si>
  <si>
    <t>Leave Allowances</t>
  </si>
  <si>
    <t>Box 4</t>
  </si>
  <si>
    <t>Social Security tax withheld</t>
  </si>
  <si>
    <t>Total Taxable Allowances</t>
  </si>
  <si>
    <t>Box 5</t>
  </si>
  <si>
    <r>
      <t>Medicare wages and tips</t>
    </r>
  </si>
  <si>
    <t>Box 6</t>
  </si>
  <si>
    <t>Medicare tax withheld</t>
  </si>
  <si>
    <t>3. Enter the info below on IRS Form 4852 or your tax software's Substitute W-2 form</t>
  </si>
  <si>
    <t>Line 4</t>
  </si>
  <si>
    <t>Enter year in space provided and check one box. For the tax year ending December 31,</t>
  </si>
  <si>
    <t>I have been unable to obtain (or have received an incorrect)          Form W-2 OR          Form 1099-R.</t>
  </si>
  <si>
    <t>Line 5</t>
  </si>
  <si>
    <t>Employer’s name, address, and ZIP code</t>
  </si>
  <si>
    <t>Line 6</t>
  </si>
  <si>
    <t>Employers identificaion number</t>
  </si>
  <si>
    <t>Peace Corps
1111 20th Street NW
Washington DC 20526</t>
  </si>
  <si>
    <t>53-0261522</t>
  </si>
  <si>
    <t>Line 7</t>
  </si>
  <si>
    <t>Form W-2. Enter wages, tips, other compensation, and taxes withheld.</t>
  </si>
  <si>
    <t>a</t>
  </si>
  <si>
    <t>Wages, tips and other compensation</t>
  </si>
  <si>
    <t>g</t>
  </si>
  <si>
    <t>State income tax withheld</t>
  </si>
  <si>
    <t>b</t>
  </si>
  <si>
    <t>Social security wages</t>
  </si>
  <si>
    <t>c</t>
  </si>
  <si>
    <t>Medicare wages and tips</t>
  </si>
  <si>
    <t>h</t>
  </si>
  <si>
    <t>Local income tax withheld</t>
  </si>
  <si>
    <t>d</t>
  </si>
  <si>
    <t>Advance EIC payment</t>
  </si>
  <si>
    <t>e</t>
  </si>
  <si>
    <t>Social security tips</t>
  </si>
  <si>
    <t>j</t>
  </si>
  <si>
    <t>Social security tax withheld</t>
  </si>
  <si>
    <t>f</t>
  </si>
  <si>
    <t>Federal income tax withheld</t>
  </si>
  <si>
    <t>l</t>
  </si>
  <si>
    <t>Line 9</t>
  </si>
  <si>
    <t>How did you determine the amounts on lines 7 and 8 above?</t>
  </si>
  <si>
    <t>Added taxable allowances not on the W-2 to amount shown on W-2 from employer</t>
  </si>
  <si>
    <t>Line 10</t>
  </si>
  <si>
    <t>Explain your efforts to obtain Form W-2, Form 1099-R, or Form W-2c…</t>
  </si>
  <si>
    <t>Employer does not currently issue W-2s that include all taxable allowances paid</t>
  </si>
  <si>
    <r>
      <t>***</t>
    </r>
    <r>
      <rPr>
        <b/>
        <sz val="14"/>
        <rFont val="Arial"/>
        <family val="2"/>
      </rPr>
      <t xml:space="preserve"> Fill in ONLY the </t>
    </r>
    <r>
      <rPr>
        <b/>
        <sz val="14"/>
        <color indexed="12"/>
        <rFont val="Arial"/>
        <family val="2"/>
      </rPr>
      <t>BLUE</t>
    </r>
    <r>
      <rPr>
        <b/>
        <sz val="14"/>
        <rFont val="Arial"/>
        <family val="2"/>
      </rPr>
      <t>/</t>
    </r>
    <r>
      <rPr>
        <b/>
        <sz val="14"/>
        <color indexed="17"/>
        <rFont val="Arial"/>
        <family val="2"/>
      </rPr>
      <t xml:space="preserve">GREEN </t>
    </r>
    <r>
      <rPr>
        <b/>
        <sz val="14"/>
        <rFont val="Arial"/>
        <family val="2"/>
      </rPr>
      <t xml:space="preserve">CELLS </t>
    </r>
    <r>
      <rPr>
        <b/>
        <sz val="14"/>
        <color indexed="10"/>
        <rFont val="Arial"/>
        <family val="2"/>
      </rPr>
      <t>***</t>
    </r>
  </si>
  <si>
    <t>Luis McPCV</t>
  </si>
  <si>
    <t>After staging in the US, Luis attended PST in Ghana starting Jun 10. Staging per diems are not taxed. Enter '1' for his PST.</t>
  </si>
  <si>
    <t>After PST, Luis served 4 full months &amp; 12 days in a 31-day month (Aug 20-31).  He is at the rural rate.  Enter 3 months and 12 days at the Jan-Nov rate, and 1 month at the Dec rate</t>
  </si>
  <si>
    <t>&lt;&lt; Amount to report as untaxed income on the FAFSA</t>
  </si>
  <si>
    <t>Luis's regular leave allowance is calculated automatically.
As a new volunteer, he is not eligible for special leave.</t>
  </si>
  <si>
    <t>Enter the amount from Luis's W-2.  This is the amount of re-adjustment allowance earned during the year.  Re-adjustment allowance is paid after a volunteer completes service.</t>
  </si>
  <si>
    <t>Report all taxable allowances on the wages line of your tax return.</t>
  </si>
  <si>
    <t>Jun 07 - Dec 31, 2009</t>
  </si>
  <si>
    <t>Luis had his PST in 2007.  Enter '0' for all PST sessions.</t>
  </si>
  <si>
    <t>Luis served 12 full months as a Peace Corps Volunteer.  He is at the rural rate.  Enter 11 months at the Jan-Nov rate and 1 month at the Dec rate</t>
  </si>
  <si>
    <t>Luis's regular leave allowance is calculated automatically.
He has not extended service &amp; is not eligible for special leave.</t>
  </si>
  <si>
    <t>Enter Luis's name and dates of service in 2009</t>
  </si>
  <si>
    <t>Jan 01 - Dec 31, 2009</t>
  </si>
  <si>
    <t>Luis served over 9 months as a Peace Corps Volunteer.  He is at the rural rate.  Enter 9 full months and 29 days in a 31-day month at the Jan-Nov rate</t>
  </si>
  <si>
    <t>Luis's regular leave allowance is calculated automatically.
He did not extend service &amp; is not eligible for special leave.</t>
  </si>
  <si>
    <t>Jan 01 - Oct 29, 2009</t>
  </si>
  <si>
    <t>Luis's Close of Service is in 2009.  Luis had his PST in 2007.  Enter '0' for all PST sessions.</t>
  </si>
  <si>
    <t>Luis's regular leave allowance is calculated automatically.
He extended service &amp; took 30 days of special leave in the US.</t>
  </si>
  <si>
    <t>Luis's has exteneded his service by 12 months and will finish in 2010.  Luis had his PST in 2007.  Enter '0' for all PST sessions.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</si>
</sst>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\-mmm;@"/>
    <numFmt numFmtId="168" formatCode="0.0%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0.00000"/>
    <numFmt numFmtId="173" formatCode="0.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dd\-mmm\-yy"/>
    <numFmt numFmtId="177" formatCode="dd\-mmm\-yyyy"/>
    <numFmt numFmtId="178" formatCode="dd/mm/yyyy"/>
    <numFmt numFmtId="179" formatCode="&quot;$&quot;#,##0.00"/>
    <numFmt numFmtId="180" formatCode="[$AMD]\ #,##0"/>
    <numFmt numFmtId="181" formatCode="[$-409]mmm\-yy;@"/>
    <numFmt numFmtId="182" formatCode="&quot;AZN&quot;\ #,##0.00;[Red]\-&quot;AZN&quot;\ #,##0.00"/>
    <numFmt numFmtId="183" formatCode="m/d/yy;@"/>
    <numFmt numFmtId="184" formatCode="mm/dd/yy;@"/>
    <numFmt numFmtId="185" formatCode="[$-409]mmmm\ d\,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0000000000000_);\(&quot;$&quot;#,##0.000000000000000\)"/>
    <numFmt numFmtId="191" formatCode="0.0"/>
    <numFmt numFmtId="192" formatCode="&quot;$&quot;#,##0.0_);[Red]\(&quot;$&quot;#,##0.0\)"/>
    <numFmt numFmtId="193" formatCode="&quot;$&quot;#,##0.000_);[Red]\(&quot;$&quot;#,##0.000\)"/>
    <numFmt numFmtId="194" formatCode="[$-409]d\-mmm\-yy;@"/>
    <numFmt numFmtId="195" formatCode="&quot;$&quot;#,##0.0_);\(&quot;$&quot;#,##0.0\)"/>
    <numFmt numFmtId="196" formatCode="&quot;$&quot;#,##0.000_);\(&quot;$&quot;#,##0.000\)"/>
    <numFmt numFmtId="197" formatCode="mmm\-yyyy"/>
    <numFmt numFmtId="198" formatCode="00000"/>
    <numFmt numFmtId="199" formatCode="_(* #,##0.0_);_(* \(#,##0.0\);_(* &quot;-&quot;?_);_(@_)"/>
  </numFmts>
  <fonts count="7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20"/>
      <color indexed="18"/>
      <name val="Arial"/>
      <family val="2"/>
    </font>
    <font>
      <b/>
      <sz val="20"/>
      <name val="Arial"/>
      <family val="2"/>
    </font>
    <font>
      <b/>
      <i/>
      <sz val="20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12"/>
      <color indexed="10"/>
      <name val="Arial"/>
      <family val="2"/>
    </font>
    <font>
      <i/>
      <sz val="20"/>
      <color indexed="16"/>
      <name val="Arial"/>
      <family val="2"/>
    </font>
    <font>
      <sz val="10"/>
      <name val="Palatino Linotyp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sz val="12"/>
      <color indexed="18"/>
      <name val="Arial"/>
      <family val="2"/>
    </font>
    <font>
      <b/>
      <sz val="12"/>
      <color indexed="17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1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right" indent="2"/>
      <protection/>
    </xf>
    <xf numFmtId="1" fontId="6" fillId="0" borderId="10" xfId="0" applyNumberFormat="1" applyFont="1" applyBorder="1" applyAlignment="1" applyProtection="1">
      <alignment horizontal="left" indent="1"/>
      <protection/>
    </xf>
    <xf numFmtId="0" fontId="6" fillId="0" borderId="10" xfId="0" applyFont="1" applyBorder="1" applyAlignment="1" applyProtection="1">
      <alignment horizontal="center"/>
      <protection/>
    </xf>
    <xf numFmtId="14" fontId="6" fillId="0" borderId="11" xfId="0" applyNumberFormat="1" applyFont="1" applyBorder="1" applyAlignment="1" applyProtection="1">
      <alignment horizontal="left" indent="1"/>
      <protection/>
    </xf>
    <xf numFmtId="0" fontId="6" fillId="0" borderId="11" xfId="0" applyFont="1" applyBorder="1" applyAlignment="1" applyProtection="1">
      <alignment horizontal="center"/>
      <protection/>
    </xf>
    <xf numFmtId="19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9" fontId="0" fillId="0" borderId="0" xfId="0" applyNumberFormat="1" applyFont="1" applyBorder="1" applyAlignment="1" applyProtection="1">
      <alignment horizontal="right" indent="2"/>
      <protection/>
    </xf>
    <xf numFmtId="7" fontId="13" fillId="0" borderId="0" xfId="0" applyNumberFormat="1" applyFont="1" applyBorder="1" applyAlignment="1" applyProtection="1">
      <alignment horizontal="right" indent="1"/>
      <protection/>
    </xf>
    <xf numFmtId="0" fontId="14" fillId="0" borderId="12" xfId="0" applyFont="1" applyBorder="1" applyAlignment="1" applyProtection="1">
      <alignment horizontal="left" indent="1"/>
      <protection/>
    </xf>
    <xf numFmtId="0" fontId="16" fillId="0" borderId="13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4"/>
      <protection/>
    </xf>
    <xf numFmtId="0" fontId="18" fillId="33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 vertical="center" inden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centerContinuous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Continuous" vertical="center" wrapText="1"/>
      <protection/>
    </xf>
    <xf numFmtId="0" fontId="19" fillId="34" borderId="19" xfId="0" applyFont="1" applyFill="1" applyBorder="1" applyAlignment="1" applyProtection="1">
      <alignment horizontal="centerContinuous" vertical="center" wrapText="1"/>
      <protection/>
    </xf>
    <xf numFmtId="0" fontId="18" fillId="0" borderId="0" xfId="0" applyFont="1" applyFill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 horizontal="right" indent="1"/>
      <protection/>
    </xf>
    <xf numFmtId="165" fontId="21" fillId="35" borderId="17" xfId="42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/>
    </xf>
    <xf numFmtId="7" fontId="0" fillId="0" borderId="20" xfId="0" applyNumberFormat="1" applyFont="1" applyBorder="1" applyAlignment="1" applyProtection="1">
      <alignment horizontal="right" indent="2"/>
      <protection/>
    </xf>
    <xf numFmtId="7" fontId="0" fillId="34" borderId="21" xfId="44" applyNumberFormat="1" applyFont="1" applyFill="1" applyBorder="1" applyAlignment="1" applyProtection="1">
      <alignment horizontal="right" indent="2"/>
      <protection/>
    </xf>
    <xf numFmtId="0" fontId="0" fillId="0" borderId="17" xfId="0" applyFont="1" applyBorder="1" applyAlignment="1" applyProtection="1">
      <alignment horizontal="center"/>
      <protection/>
    </xf>
    <xf numFmtId="7" fontId="0" fillId="34" borderId="19" xfId="44" applyNumberFormat="1" applyFont="1" applyFill="1" applyBorder="1" applyAlignment="1" applyProtection="1">
      <alignment horizontal="right" indent="2"/>
      <protection/>
    </xf>
    <xf numFmtId="7" fontId="0" fillId="34" borderId="22" xfId="44" applyNumberFormat="1" applyFont="1" applyFill="1" applyBorder="1" applyAlignment="1" applyProtection="1">
      <alignment horizontal="right" indent="2"/>
      <protection/>
    </xf>
    <xf numFmtId="194" fontId="0" fillId="0" borderId="23" xfId="0" applyNumberFormat="1" applyFont="1" applyBorder="1" applyAlignment="1" applyProtection="1">
      <alignment horizontal="center"/>
      <protection/>
    </xf>
    <xf numFmtId="194" fontId="0" fillId="0" borderId="24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179" fontId="0" fillId="0" borderId="24" xfId="0" applyNumberFormat="1" applyFont="1" applyBorder="1" applyAlignment="1" applyProtection="1">
      <alignment horizontal="right" indent="2"/>
      <protection/>
    </xf>
    <xf numFmtId="7" fontId="13" fillId="0" borderId="24" xfId="0" applyNumberFormat="1" applyFont="1" applyBorder="1" applyAlignment="1" applyProtection="1">
      <alignment horizontal="right" indent="1"/>
      <protection/>
    </xf>
    <xf numFmtId="7" fontId="18" fillId="34" borderId="25" xfId="44" applyNumberFormat="1" applyFont="1" applyFill="1" applyBorder="1" applyAlignment="1" applyProtection="1">
      <alignment horizontal="right" indent="2"/>
      <protection/>
    </xf>
    <xf numFmtId="0" fontId="5" fillId="0" borderId="0" xfId="0" applyFont="1" applyAlignment="1" applyProtection="1">
      <alignment horizontal="centerContinuous"/>
      <protection/>
    </xf>
    <xf numFmtId="0" fontId="22" fillId="0" borderId="14" xfId="0" applyFont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left" vertical="center" indent="1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Continuous"/>
      <protection/>
    </xf>
    <xf numFmtId="0" fontId="0" fillId="0" borderId="28" xfId="0" applyFont="1" applyBorder="1" applyAlignment="1" applyProtection="1">
      <alignment horizontal="centerContinuous"/>
      <protection/>
    </xf>
    <xf numFmtId="0" fontId="0" fillId="0" borderId="29" xfId="0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36" borderId="17" xfId="0" applyFont="1" applyFill="1" applyBorder="1" applyAlignment="1" applyProtection="1">
      <alignment horizontal="centerContinuous" vertical="center" wrapText="1"/>
      <protection/>
    </xf>
    <xf numFmtId="0" fontId="0" fillId="0" borderId="17" xfId="0" applyFont="1" applyFill="1" applyBorder="1" applyAlignment="1" applyProtection="1">
      <alignment horizontal="centerContinuous" vertical="center" wrapText="1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7" fontId="0" fillId="36" borderId="17" xfId="44" applyNumberFormat="1" applyFont="1" applyFill="1" applyBorder="1" applyAlignment="1" applyProtection="1">
      <alignment horizontal="right"/>
      <protection/>
    </xf>
    <xf numFmtId="41" fontId="21" fillId="35" borderId="17" xfId="42" applyNumberFormat="1" applyFont="1" applyFill="1" applyBorder="1" applyAlignment="1" applyProtection="1">
      <alignment horizontal="center"/>
      <protection locked="0"/>
    </xf>
    <xf numFmtId="169" fontId="18" fillId="0" borderId="17" xfId="42" applyNumberFormat="1" applyFont="1" applyBorder="1" applyAlignment="1" applyProtection="1">
      <alignment horizontal="center"/>
      <protection/>
    </xf>
    <xf numFmtId="7" fontId="0" fillId="34" borderId="21" xfId="44" applyNumberFormat="1" applyFont="1" applyFill="1" applyBorder="1" applyAlignment="1" applyProtection="1">
      <alignment horizontal="right" indent="1"/>
      <protection/>
    </xf>
    <xf numFmtId="7" fontId="0" fillId="34" borderId="19" xfId="44" applyNumberFormat="1" applyFont="1" applyFill="1" applyBorder="1" applyAlignment="1" applyProtection="1">
      <alignment horizontal="right" indent="1"/>
      <protection/>
    </xf>
    <xf numFmtId="7" fontId="0" fillId="34" borderId="22" xfId="44" applyNumberFormat="1" applyFont="1" applyFill="1" applyBorder="1" applyAlignment="1" applyProtection="1">
      <alignment horizontal="right" indent="1"/>
      <protection/>
    </xf>
    <xf numFmtId="7" fontId="18" fillId="36" borderId="17" xfId="0" applyNumberFormat="1" applyFont="1" applyFill="1" applyBorder="1" applyAlignment="1" applyProtection="1">
      <alignment horizontal="right"/>
      <protection/>
    </xf>
    <xf numFmtId="169" fontId="18" fillId="0" borderId="0" xfId="42" applyNumberFormat="1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 vertical="center" indent="1"/>
      <protection/>
    </xf>
    <xf numFmtId="8" fontId="0" fillId="0" borderId="24" xfId="0" applyNumberFormat="1" applyFont="1" applyBorder="1" applyAlignment="1" applyProtection="1">
      <alignment horizontal="right" indent="1"/>
      <protection/>
    </xf>
    <xf numFmtId="168" fontId="0" fillId="0" borderId="24" xfId="59" applyNumberFormat="1" applyFont="1" applyBorder="1" applyAlignment="1" applyProtection="1">
      <alignment horizontal="center"/>
      <protection/>
    </xf>
    <xf numFmtId="7" fontId="18" fillId="34" borderId="25" xfId="0" applyNumberFormat="1" applyFont="1" applyFill="1" applyBorder="1" applyAlignment="1" applyProtection="1">
      <alignment horizontal="right" indent="1"/>
      <protection/>
    </xf>
    <xf numFmtId="0" fontId="18" fillId="0" borderId="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left" vertical="center" indent="1"/>
      <protection/>
    </xf>
    <xf numFmtId="8" fontId="0" fillId="0" borderId="0" xfId="0" applyNumberFormat="1" applyFont="1" applyBorder="1" applyAlignment="1" applyProtection="1">
      <alignment horizontal="right" indent="1"/>
      <protection/>
    </xf>
    <xf numFmtId="168" fontId="0" fillId="0" borderId="0" xfId="59" applyNumberFormat="1" applyFont="1" applyBorder="1" applyAlignment="1" applyProtection="1">
      <alignment horizontal="center"/>
      <protection/>
    </xf>
    <xf numFmtId="179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left" indent="1"/>
      <protection/>
    </xf>
    <xf numFmtId="179" fontId="0" fillId="0" borderId="0" xfId="0" applyNumberFormat="1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left" vertical="center" indent="1"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Continuous" vertical="center" wrapText="1"/>
      <protection/>
    </xf>
    <xf numFmtId="0" fontId="19" fillId="34" borderId="17" xfId="0" applyFont="1" applyFill="1" applyBorder="1" applyAlignment="1" applyProtection="1">
      <alignment horizontal="centerContinuous" vertical="center" wrapText="1"/>
      <protection/>
    </xf>
    <xf numFmtId="191" fontId="18" fillId="0" borderId="17" xfId="0" applyNumberFormat="1" applyFont="1" applyBorder="1" applyAlignment="1" applyProtection="1">
      <alignment horizontal="center"/>
      <protection/>
    </xf>
    <xf numFmtId="1" fontId="21" fillId="35" borderId="17" xfId="42" applyNumberFormat="1" applyFont="1" applyFill="1" applyBorder="1" applyAlignment="1" applyProtection="1">
      <alignment horizontal="center"/>
      <protection locked="0"/>
    </xf>
    <xf numFmtId="5" fontId="0" fillId="0" borderId="18" xfId="0" applyNumberFormat="1" applyFont="1" applyBorder="1" applyAlignment="1" applyProtection="1">
      <alignment horizontal="center"/>
      <protection/>
    </xf>
    <xf numFmtId="7" fontId="0" fillId="34" borderId="17" xfId="44" applyNumberFormat="1" applyFont="1" applyFill="1" applyBorder="1" applyAlignment="1" applyProtection="1" quotePrefix="1">
      <alignment horizontal="right" indent="1"/>
      <protection/>
    </xf>
    <xf numFmtId="5" fontId="0" fillId="0" borderId="20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7" fontId="13" fillId="34" borderId="17" xfId="0" applyNumberFormat="1" applyFont="1" applyFill="1" applyBorder="1" applyAlignment="1" applyProtection="1">
      <alignment horizontal="right" indent="1"/>
      <protection/>
    </xf>
    <xf numFmtId="0" fontId="13" fillId="0" borderId="15" xfId="0" applyFont="1" applyBorder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centerContinuous"/>
      <protection/>
    </xf>
    <xf numFmtId="0" fontId="0" fillId="0" borderId="16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right" indent="1"/>
      <protection/>
    </xf>
    <xf numFmtId="7" fontId="14" fillId="34" borderId="25" xfId="0" applyNumberFormat="1" applyFont="1" applyFill="1" applyBorder="1" applyAlignment="1" applyProtection="1">
      <alignment horizontal="right" indent="1"/>
      <protection/>
    </xf>
    <xf numFmtId="43" fontId="21" fillId="35" borderId="17" xfId="42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left" indent="1"/>
      <protection/>
    </xf>
    <xf numFmtId="0" fontId="18" fillId="0" borderId="0" xfId="0" applyFont="1" applyBorder="1" applyAlignment="1" applyProtection="1">
      <alignment horizontal="right" indent="1"/>
      <protection/>
    </xf>
    <xf numFmtId="0" fontId="23" fillId="0" borderId="0" xfId="0" applyFont="1" applyAlignment="1" applyProtection="1">
      <alignment/>
      <protection/>
    </xf>
    <xf numFmtId="194" fontId="0" fillId="37" borderId="32" xfId="0" applyNumberFormat="1" applyFont="1" applyFill="1" applyBorder="1" applyAlignment="1" applyProtection="1">
      <alignment horizontal="center"/>
      <protection locked="0"/>
    </xf>
    <xf numFmtId="194" fontId="0" fillId="37" borderId="20" xfId="0" applyNumberFormat="1" applyFont="1" applyFill="1" applyBorder="1" applyAlignment="1" applyProtection="1">
      <alignment horizontal="center"/>
      <protection locked="0"/>
    </xf>
    <xf numFmtId="179" fontId="0" fillId="37" borderId="20" xfId="0" applyNumberFormat="1" applyFont="1" applyFill="1" applyBorder="1" applyAlignment="1" applyProtection="1">
      <alignment horizontal="right" indent="2"/>
      <protection locked="0"/>
    </xf>
    <xf numFmtId="0" fontId="0" fillId="37" borderId="20" xfId="0" applyFont="1" applyFill="1" applyBorder="1" applyAlignment="1" applyProtection="1">
      <alignment horizontal="center"/>
      <protection locked="0"/>
    </xf>
    <xf numFmtId="168" fontId="0" fillId="37" borderId="20" xfId="59" applyNumberFormat="1" applyFont="1" applyFill="1" applyBorder="1" applyAlignment="1" applyProtection="1">
      <alignment horizontal="center"/>
      <protection locked="0"/>
    </xf>
    <xf numFmtId="0" fontId="0" fillId="37" borderId="17" xfId="0" applyFont="1" applyFill="1" applyBorder="1" applyAlignment="1" applyProtection="1">
      <alignment horizontal="center"/>
      <protection locked="0"/>
    </xf>
    <xf numFmtId="0" fontId="0" fillId="37" borderId="32" xfId="0" applyFont="1" applyFill="1" applyBorder="1" applyAlignment="1" applyProtection="1">
      <alignment horizontal="center" vertical="center"/>
      <protection locked="0"/>
    </xf>
    <xf numFmtId="8" fontId="0" fillId="37" borderId="20" xfId="0" applyNumberFormat="1" applyFont="1" applyFill="1" applyBorder="1" applyAlignment="1" applyProtection="1">
      <alignment horizontal="center"/>
      <protection locked="0"/>
    </xf>
    <xf numFmtId="7" fontId="0" fillId="0" borderId="20" xfId="44" applyNumberFormat="1" applyFont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168" fontId="25" fillId="0" borderId="0" xfId="59" applyNumberFormat="1" applyFont="1" applyBorder="1" applyAlignment="1">
      <alignment/>
    </xf>
    <xf numFmtId="179" fontId="0" fillId="37" borderId="20" xfId="0" applyNumberFormat="1" applyFont="1" applyFill="1" applyBorder="1" applyAlignment="1" applyProtection="1">
      <alignment horizontal="center"/>
      <protection locked="0"/>
    </xf>
    <xf numFmtId="7" fontId="0" fillId="0" borderId="20" xfId="0" applyNumberFormat="1" applyFont="1" applyBorder="1" applyAlignment="1" applyProtection="1">
      <alignment horizontal="center"/>
      <protection/>
    </xf>
    <xf numFmtId="0" fontId="0" fillId="37" borderId="18" xfId="0" applyFont="1" applyFill="1" applyBorder="1" applyAlignment="1" applyProtection="1">
      <alignment horizontal="center" vertical="center"/>
      <protection locked="0"/>
    </xf>
    <xf numFmtId="7" fontId="0" fillId="0" borderId="17" xfId="44" applyNumberFormat="1" applyFont="1" applyBorder="1" applyAlignment="1" applyProtection="1">
      <alignment horizontal="center"/>
      <protection/>
    </xf>
    <xf numFmtId="0" fontId="0" fillId="37" borderId="32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8" fontId="0" fillId="37" borderId="20" xfId="0" applyNumberFormat="1" applyFont="1" applyFill="1" applyBorder="1" applyAlignment="1">
      <alignment horizontal="center"/>
    </xf>
    <xf numFmtId="9" fontId="0" fillId="37" borderId="20" xfId="59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9" fontId="0" fillId="37" borderId="17" xfId="59" applyFont="1" applyFill="1" applyBorder="1" applyAlignment="1">
      <alignment horizontal="center"/>
    </xf>
    <xf numFmtId="49" fontId="0" fillId="37" borderId="16" xfId="0" applyNumberFormat="1" applyFont="1" applyFill="1" applyBorder="1" applyAlignment="1">
      <alignment horizontal="center"/>
    </xf>
    <xf numFmtId="179" fontId="0" fillId="37" borderId="20" xfId="0" applyNumberFormat="1" applyFont="1" applyFill="1" applyBorder="1" applyAlignment="1">
      <alignment horizontal="center"/>
    </xf>
    <xf numFmtId="0" fontId="0" fillId="37" borderId="30" xfId="0" applyFont="1" applyFill="1" applyBorder="1" applyAlignment="1" applyProtection="1">
      <alignment horizontal="center"/>
      <protection locked="0"/>
    </xf>
    <xf numFmtId="0" fontId="19" fillId="0" borderId="33" xfId="0" applyFont="1" applyBorder="1" applyAlignment="1" applyProtection="1">
      <alignment horizontal="centerContinuous" vertical="center"/>
      <protection/>
    </xf>
    <xf numFmtId="0" fontId="0" fillId="37" borderId="34" xfId="0" applyFont="1" applyFill="1" applyBorder="1" applyAlignment="1">
      <alignment horizontal="center"/>
    </xf>
    <xf numFmtId="14" fontId="0" fillId="37" borderId="32" xfId="0" applyNumberFormat="1" applyFont="1" applyFill="1" applyBorder="1" applyAlignment="1">
      <alignment horizontal="center"/>
    </xf>
    <xf numFmtId="14" fontId="0" fillId="37" borderId="30" xfId="0" applyNumberFormat="1" applyFont="1" applyFill="1" applyBorder="1" applyAlignment="1">
      <alignment horizontal="center"/>
    </xf>
    <xf numFmtId="17" fontId="0" fillId="37" borderId="16" xfId="0" applyNumberFormat="1" applyFont="1" applyFill="1" applyBorder="1" applyAlignment="1" quotePrefix="1">
      <alignment horizontal="center"/>
    </xf>
    <xf numFmtId="17" fontId="0" fillId="37" borderId="16" xfId="0" applyNumberFormat="1" applyFont="1" applyFill="1" applyBorder="1" applyAlignment="1" quotePrefix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8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17" fontId="0" fillId="37" borderId="17" xfId="0" applyNumberFormat="1" applyFont="1" applyFill="1" applyBorder="1" applyAlignment="1" quotePrefix="1">
      <alignment horizontal="center"/>
    </xf>
    <xf numFmtId="168" fontId="0" fillId="37" borderId="17" xfId="59" applyNumberFormat="1" applyFont="1" applyFill="1" applyBorder="1" applyAlignment="1">
      <alignment horizontal="center"/>
    </xf>
    <xf numFmtId="0" fontId="0" fillId="37" borderId="16" xfId="0" applyFont="1" applyFill="1" applyBorder="1" applyAlignment="1" quotePrefix="1">
      <alignment horizontal="center" wrapText="1"/>
    </xf>
    <xf numFmtId="0" fontId="0" fillId="37" borderId="16" xfId="0" applyFont="1" applyFill="1" applyBorder="1" applyAlignment="1">
      <alignment horizontal="center" wrapText="1"/>
    </xf>
    <xf numFmtId="6" fontId="0" fillId="37" borderId="20" xfId="0" applyNumberFormat="1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16" xfId="0" applyFont="1" applyFill="1" applyBorder="1" applyAlignment="1" quotePrefix="1">
      <alignment horizontal="center"/>
    </xf>
    <xf numFmtId="17" fontId="0" fillId="37" borderId="16" xfId="0" applyNumberFormat="1" applyFont="1" applyFill="1" applyBorder="1" applyAlignment="1">
      <alignment horizontal="center"/>
    </xf>
    <xf numFmtId="0" fontId="0" fillId="37" borderId="35" xfId="0" applyFont="1" applyFill="1" applyBorder="1" applyAlignment="1" applyProtection="1">
      <alignment horizontal="center" vertical="center"/>
      <protection locked="0"/>
    </xf>
    <xf numFmtId="0" fontId="0" fillId="37" borderId="36" xfId="0" applyFont="1" applyFill="1" applyBorder="1" applyAlignment="1" applyProtection="1">
      <alignment horizontal="center"/>
      <protection locked="0"/>
    </xf>
    <xf numFmtId="8" fontId="0" fillId="37" borderId="36" xfId="0" applyNumberFormat="1" applyFont="1" applyFill="1" applyBorder="1" applyAlignment="1" applyProtection="1">
      <alignment horizontal="center"/>
      <protection locked="0"/>
    </xf>
    <xf numFmtId="168" fontId="0" fillId="37" borderId="36" xfId="59" applyNumberFormat="1" applyFont="1" applyFill="1" applyBorder="1" applyAlignment="1" applyProtection="1">
      <alignment horizontal="center"/>
      <protection locked="0"/>
    </xf>
    <xf numFmtId="7" fontId="0" fillId="0" borderId="36" xfId="44" applyNumberFormat="1" applyFont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/>
      <protection/>
    </xf>
    <xf numFmtId="0" fontId="0" fillId="38" borderId="18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8" fontId="0" fillId="38" borderId="20" xfId="0" applyNumberFormat="1" applyFont="1" applyFill="1" applyBorder="1" applyAlignment="1">
      <alignment horizontal="center"/>
    </xf>
    <xf numFmtId="9" fontId="0" fillId="38" borderId="20" xfId="59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/>
    </xf>
    <xf numFmtId="0" fontId="0" fillId="38" borderId="16" xfId="0" applyNumberFormat="1" applyFont="1" applyFill="1" applyBorder="1" applyAlignment="1" quotePrefix="1">
      <alignment horizontal="center"/>
    </xf>
    <xf numFmtId="9" fontId="0" fillId="38" borderId="17" xfId="59" applyFont="1" applyFill="1" applyBorder="1" applyAlignment="1">
      <alignment horizontal="center"/>
    </xf>
    <xf numFmtId="1" fontId="15" fillId="35" borderId="17" xfId="42" applyNumberFormat="1" applyFont="1" applyFill="1" applyBorder="1" applyAlignment="1" applyProtection="1">
      <alignment horizontal="center" vertical="center"/>
      <protection locked="0"/>
    </xf>
    <xf numFmtId="1" fontId="14" fillId="37" borderId="17" xfId="42" applyNumberFormat="1" applyFont="1" applyFill="1" applyBorder="1" applyAlignment="1" applyProtection="1">
      <alignment horizontal="center" vertical="center"/>
      <protection locked="0"/>
    </xf>
    <xf numFmtId="194" fontId="17" fillId="0" borderId="37" xfId="0" applyNumberFormat="1" applyFont="1" applyBorder="1" applyAlignment="1" applyProtection="1">
      <alignment horizontal="left" wrapText="1" indent="1"/>
      <protection/>
    </xf>
    <xf numFmtId="0" fontId="17" fillId="0" borderId="0" xfId="0" applyFont="1" applyBorder="1" applyAlignment="1" applyProtection="1">
      <alignment horizontal="left" indent="1"/>
      <protection/>
    </xf>
    <xf numFmtId="0" fontId="17" fillId="0" borderId="38" xfId="0" applyFont="1" applyBorder="1" applyAlignment="1" applyProtection="1">
      <alignment horizontal="left" indent="1"/>
      <protection/>
    </xf>
    <xf numFmtId="194" fontId="17" fillId="0" borderId="34" xfId="0" applyNumberFormat="1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indent="1"/>
      <protection/>
    </xf>
    <xf numFmtId="0" fontId="17" fillId="0" borderId="39" xfId="0" applyFont="1" applyBorder="1" applyAlignment="1" applyProtection="1">
      <alignment horizontal="left" indent="1"/>
      <protection/>
    </xf>
    <xf numFmtId="0" fontId="9" fillId="0" borderId="0" xfId="0" applyFont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39" xfId="0" applyFont="1" applyBorder="1" applyAlignment="1" applyProtection="1">
      <alignment horizontal="left" wrapText="1" indent="1"/>
      <protection/>
    </xf>
    <xf numFmtId="194" fontId="17" fillId="0" borderId="0" xfId="0" applyNumberFormat="1" applyFont="1" applyBorder="1" applyAlignment="1" applyProtection="1">
      <alignment horizontal="left" wrapText="1" inden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1" fontId="15" fillId="35" borderId="15" xfId="42" applyNumberFormat="1" applyFont="1" applyFill="1" applyBorder="1" applyAlignment="1" applyProtection="1">
      <alignment horizontal="center" vertical="center"/>
      <protection locked="0"/>
    </xf>
    <xf numFmtId="1" fontId="15" fillId="35" borderId="11" xfId="42" applyNumberFormat="1" applyFont="1" applyFill="1" applyBorder="1" applyAlignment="1" applyProtection="1">
      <alignment horizontal="center" vertical="center"/>
      <protection locked="0"/>
    </xf>
    <xf numFmtId="1" fontId="15" fillId="35" borderId="16" xfId="42" applyNumberFormat="1" applyFont="1" applyFill="1" applyBorder="1" applyAlignment="1" applyProtection="1">
      <alignment horizontal="center" vertical="center"/>
      <protection locked="0"/>
    </xf>
    <xf numFmtId="1" fontId="14" fillId="37" borderId="15" xfId="42" applyNumberFormat="1" applyFont="1" applyFill="1" applyBorder="1" applyAlignment="1" applyProtection="1">
      <alignment horizontal="center" vertical="center"/>
      <protection locked="0"/>
    </xf>
    <xf numFmtId="1" fontId="14" fillId="37" borderId="11" xfId="42" applyNumberFormat="1" applyFont="1" applyFill="1" applyBorder="1" applyAlignment="1" applyProtection="1">
      <alignment horizontal="center" vertical="center"/>
      <protection locked="0"/>
    </xf>
    <xf numFmtId="1" fontId="14" fillId="37" borderId="16" xfId="42" applyNumberFormat="1" applyFont="1" applyFill="1" applyBorder="1" applyAlignment="1" applyProtection="1">
      <alignment horizontal="center" vertical="center"/>
      <protection locked="0"/>
    </xf>
    <xf numFmtId="0" fontId="0" fillId="37" borderId="40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18" fillId="37" borderId="40" xfId="0" applyFont="1" applyFill="1" applyBorder="1" applyAlignment="1" applyProtection="1">
      <alignment horizontal="center" vertical="center"/>
      <protection locked="0"/>
    </xf>
    <xf numFmtId="0" fontId="18" fillId="37" borderId="16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5" fontId="21" fillId="35" borderId="15" xfId="42" applyNumberFormat="1" applyFont="1" applyFill="1" applyBorder="1" applyAlignment="1" applyProtection="1">
      <alignment horizontal="center" vertical="center"/>
      <protection locked="0"/>
    </xf>
    <xf numFmtId="165" fontId="21" fillId="35" borderId="11" xfId="42" applyNumberFormat="1" applyFont="1" applyFill="1" applyBorder="1" applyAlignment="1" applyProtection="1">
      <alignment horizontal="center" vertical="center"/>
      <protection locked="0"/>
    </xf>
    <xf numFmtId="165" fontId="21" fillId="35" borderId="16" xfId="42" applyNumberFormat="1" applyFont="1" applyFill="1" applyBorder="1" applyAlignment="1" applyProtection="1">
      <alignment horizontal="center" vertical="center"/>
      <protection locked="0"/>
    </xf>
    <xf numFmtId="7" fontId="13" fillId="34" borderId="15" xfId="44" applyNumberFormat="1" applyFont="1" applyFill="1" applyBorder="1" applyAlignment="1" applyProtection="1">
      <alignment horizontal="center" vertical="center"/>
      <protection/>
    </xf>
    <xf numFmtId="7" fontId="13" fillId="34" borderId="11" xfId="44" applyNumberFormat="1" applyFont="1" applyFill="1" applyBorder="1" applyAlignment="1" applyProtection="1">
      <alignment horizontal="center" vertical="center"/>
      <protection/>
    </xf>
    <xf numFmtId="7" fontId="13" fillId="34" borderId="16" xfId="44" applyNumberFormat="1" applyFont="1" applyFill="1" applyBorder="1" applyAlignment="1" applyProtection="1">
      <alignment horizontal="center" vertical="center"/>
      <protection/>
    </xf>
    <xf numFmtId="7" fontId="13" fillId="36" borderId="15" xfId="44" applyNumberFormat="1" applyFont="1" applyFill="1" applyBorder="1" applyAlignment="1" applyProtection="1">
      <alignment horizontal="center" vertical="center"/>
      <protection/>
    </xf>
    <xf numFmtId="7" fontId="13" fillId="36" borderId="11" xfId="44" applyNumberFormat="1" applyFont="1" applyFill="1" applyBorder="1" applyAlignment="1" applyProtection="1">
      <alignment horizontal="center" vertical="center"/>
      <protection/>
    </xf>
    <xf numFmtId="7" fontId="13" fillId="36" borderId="16" xfId="44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left" vertical="center" indent="1"/>
    </xf>
    <xf numFmtId="194" fontId="44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94" fontId="44" fillId="0" borderId="0" xfId="0" applyNumberFormat="1" applyFont="1" applyBorder="1" applyAlignment="1">
      <alignment horizontal="left" vertical="center"/>
    </xf>
    <xf numFmtId="194" fontId="44" fillId="0" borderId="0" xfId="0" applyNumberFormat="1" applyFont="1" applyBorder="1" applyAlignment="1">
      <alignment horizontal="left" vertical="center" indent="2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194" fontId="44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center" wrapText="1"/>
    </xf>
    <xf numFmtId="194" fontId="44" fillId="0" borderId="0" xfId="0" applyNumberFormat="1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 horizontal="center"/>
    </xf>
    <xf numFmtId="0" fontId="2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/>
    </xf>
    <xf numFmtId="0" fontId="0" fillId="0" borderId="0" xfId="53" applyFont="1" applyAlignment="1" applyProtection="1">
      <alignment horizontal="left" vertical="center" wrapText="1" indent="1"/>
      <protection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52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7" fontId="53" fillId="35" borderId="17" xfId="44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7" fontId="18" fillId="0" borderId="0" xfId="44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0" xfId="0" applyFont="1" applyFill="1" applyAlignment="1">
      <alignment vertical="center"/>
    </xf>
    <xf numFmtId="0" fontId="54" fillId="34" borderId="17" xfId="44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54" fillId="34" borderId="17" xfId="0" applyFont="1" applyFill="1" applyBorder="1" applyAlignment="1">
      <alignment horizontal="left" vertical="center" wrapText="1" indent="1"/>
    </xf>
    <xf numFmtId="0" fontId="54" fillId="34" borderId="17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" fontId="54" fillId="34" borderId="17" xfId="44" applyNumberFormat="1" applyFont="1" applyFill="1" applyBorder="1" applyAlignment="1">
      <alignment vertical="center"/>
    </xf>
    <xf numFmtId="5" fontId="55" fillId="0" borderId="0" xfId="44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54" fillId="34" borderId="15" xfId="0" applyFont="1" applyFill="1" applyBorder="1" applyAlignment="1">
      <alignment horizontal="left" vertical="center" indent="1"/>
    </xf>
    <xf numFmtId="0" fontId="0" fillId="34" borderId="11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13" fillId="0" borderId="17" xfId="0" applyFont="1" applyFill="1" applyBorder="1" applyAlignment="1" applyProtection="1">
      <alignment horizontal="left" vertical="center" indent="1"/>
      <protection/>
    </xf>
    <xf numFmtId="1" fontId="14" fillId="0" borderId="17" xfId="42" applyNumberFormat="1" applyFont="1" applyFill="1" applyBorder="1" applyAlignment="1" applyProtection="1">
      <alignment horizontal="left" vertical="center" indent="1"/>
      <protection/>
    </xf>
    <xf numFmtId="1" fontId="15" fillId="35" borderId="17" xfId="42" applyNumberFormat="1" applyFont="1" applyFill="1" applyBorder="1" applyAlignment="1" applyProtection="1">
      <alignment horizontal="left" vertical="center" indent="1"/>
      <protection locked="0"/>
    </xf>
    <xf numFmtId="0" fontId="46" fillId="0" borderId="0" xfId="0" applyFont="1" applyBorder="1" applyAlignment="1" applyProtection="1">
      <alignment horizontal="right" wrapText="1" indent="1"/>
      <protection/>
    </xf>
    <xf numFmtId="0" fontId="46" fillId="0" borderId="0" xfId="0" applyFont="1" applyAlignment="1" applyProtection="1">
      <alignment horizontal="left" wrapText="1" indent="1"/>
      <protection/>
    </xf>
    <xf numFmtId="194" fontId="0" fillId="0" borderId="32" xfId="0" applyNumberFormat="1" applyFont="1" applyBorder="1" applyAlignment="1" applyProtection="1">
      <alignment horizontal="center"/>
      <protection/>
    </xf>
    <xf numFmtId="194" fontId="0" fillId="0" borderId="20" xfId="0" applyNumberFormat="1" applyFont="1" applyBorder="1" applyAlignment="1" applyProtection="1">
      <alignment horizontal="center"/>
      <protection/>
    </xf>
    <xf numFmtId="179" fontId="0" fillId="0" borderId="20" xfId="0" applyNumberFormat="1" applyFont="1" applyBorder="1" applyAlignment="1" applyProtection="1">
      <alignment horizontal="right" indent="2"/>
      <protection/>
    </xf>
    <xf numFmtId="194" fontId="0" fillId="0" borderId="18" xfId="0" applyNumberFormat="1" applyFont="1" applyBorder="1" applyAlignment="1" applyProtection="1">
      <alignment horizontal="center"/>
      <protection/>
    </xf>
    <xf numFmtId="194" fontId="0" fillId="0" borderId="17" xfId="0" applyNumberFormat="1" applyFont="1" applyBorder="1" applyAlignment="1" applyProtection="1">
      <alignment horizontal="center"/>
      <protection/>
    </xf>
    <xf numFmtId="179" fontId="0" fillId="0" borderId="17" xfId="0" applyNumberFormat="1" applyFont="1" applyBorder="1" applyAlignment="1" applyProtection="1">
      <alignment horizontal="right" indent="2"/>
      <protection/>
    </xf>
    <xf numFmtId="41" fontId="21" fillId="35" borderId="17" xfId="42" applyNumberFormat="1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 vertical="center" indent="1"/>
      <protection/>
    </xf>
    <xf numFmtId="8" fontId="0" fillId="0" borderId="20" xfId="0" applyNumberFormat="1" applyFont="1" applyBorder="1" applyAlignment="1" applyProtection="1">
      <alignment horizontal="right" indent="1"/>
      <protection/>
    </xf>
    <xf numFmtId="168" fontId="0" fillId="0" borderId="20" xfId="59" applyNumberFormat="1" applyFont="1" applyBorder="1" applyAlignment="1" applyProtection="1">
      <alignment horizontal="center"/>
      <protection/>
    </xf>
    <xf numFmtId="7" fontId="0" fillId="0" borderId="20" xfId="44" applyNumberFormat="1" applyFont="1" applyBorder="1" applyAlignment="1" applyProtection="1">
      <alignment horizontal="right" indent="1"/>
      <protection/>
    </xf>
    <xf numFmtId="0" fontId="0" fillId="0" borderId="32" xfId="0" applyFont="1" applyBorder="1" applyAlignment="1" applyProtection="1">
      <alignment horizontal="left" vertical="center" indent="1"/>
      <protection/>
    </xf>
    <xf numFmtId="0" fontId="0" fillId="0" borderId="32" xfId="0" applyFont="1" applyBorder="1" applyAlignment="1" applyProtection="1">
      <alignment horizontal="left" vertical="center" indent="1"/>
      <protection/>
    </xf>
    <xf numFmtId="0" fontId="0" fillId="0" borderId="18" xfId="0" applyFont="1" applyBorder="1" applyAlignment="1" applyProtection="1">
      <alignment horizontal="left" vertical="center" indent="1"/>
      <protection/>
    </xf>
    <xf numFmtId="7" fontId="0" fillId="0" borderId="17" xfId="44" applyNumberFormat="1" applyFont="1" applyBorder="1" applyAlignment="1" applyProtection="1">
      <alignment horizontal="right" indent="1"/>
      <protection/>
    </xf>
    <xf numFmtId="169" fontId="46" fillId="0" borderId="0" xfId="42" applyNumberFormat="1" applyFont="1" applyBorder="1" applyAlignment="1" applyProtection="1">
      <alignment horizontal="left" vertical="center"/>
      <protection/>
    </xf>
    <xf numFmtId="169" fontId="46" fillId="0" borderId="0" xfId="42" applyNumberFormat="1" applyFont="1" applyBorder="1" applyAlignment="1" applyProtection="1">
      <alignment horizontal="center"/>
      <protection/>
    </xf>
    <xf numFmtId="169" fontId="46" fillId="0" borderId="0" xfId="42" applyNumberFormat="1" applyFont="1" applyBorder="1" applyAlignment="1" applyProtection="1">
      <alignment horizontal="left" wrapText="1" indent="1"/>
      <protection/>
    </xf>
    <xf numFmtId="169" fontId="46" fillId="0" borderId="10" xfId="42" applyNumberFormat="1" applyFont="1" applyBorder="1" applyAlignment="1" applyProtection="1">
      <alignment horizontal="left" wrapText="1" indent="1"/>
      <protection/>
    </xf>
    <xf numFmtId="0" fontId="6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1</xdr:row>
      <xdr:rowOff>76200</xdr:rowOff>
    </xdr:from>
    <xdr:to>
      <xdr:col>13</xdr:col>
      <xdr:colOff>495300</xdr:colOff>
      <xdr:row>6</xdr:row>
      <xdr:rowOff>114300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7334250" y="2381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1171575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104775</xdr:rowOff>
    </xdr:from>
    <xdr:to>
      <xdr:col>8</xdr:col>
      <xdr:colOff>1038225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91440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1171575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609600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523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104775</xdr:rowOff>
    </xdr:from>
    <xdr:to>
      <xdr:col>8</xdr:col>
      <xdr:colOff>1200150</xdr:colOff>
      <xdr:row>7</xdr:row>
      <xdr:rowOff>266700</xdr:rowOff>
    </xdr:to>
    <xdr:pic>
      <xdr:nvPicPr>
        <xdr:cNvPr id="2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114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104775</xdr:rowOff>
    </xdr:from>
    <xdr:to>
      <xdr:col>8</xdr:col>
      <xdr:colOff>1057275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91440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4</xdr:row>
      <xdr:rowOff>104775</xdr:rowOff>
    </xdr:from>
    <xdr:to>
      <xdr:col>9</xdr:col>
      <xdr:colOff>57150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2447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1038225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104775</xdr:rowOff>
    </xdr:from>
    <xdr:to>
      <xdr:col>9</xdr:col>
      <xdr:colOff>66675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0</xdr:rowOff>
    </xdr:from>
    <xdr:to>
      <xdr:col>8</xdr:col>
      <xdr:colOff>1028700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809625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95250</xdr:rowOff>
    </xdr:from>
    <xdr:to>
      <xdr:col>8</xdr:col>
      <xdr:colOff>1038225</xdr:colOff>
      <xdr:row>7</xdr:row>
      <xdr:rowOff>257175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904875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1133475</xdr:colOff>
      <xdr:row>1</xdr:row>
      <xdr:rowOff>114300</xdr:rowOff>
    </xdr:from>
    <xdr:to>
      <xdr:col>6</xdr:col>
      <xdr:colOff>76200</xdr:colOff>
      <xdr:row>3</xdr:row>
      <xdr:rowOff>209550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410200" y="314325"/>
          <a:ext cx="581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14</xdr:row>
      <xdr:rowOff>28575</xdr:rowOff>
    </xdr:from>
    <xdr:to>
      <xdr:col>5</xdr:col>
      <xdr:colOff>314325</xdr:colOff>
      <xdr:row>14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71975" y="4714875"/>
          <a:ext cx="2190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1209675</xdr:colOff>
      <xdr:row>14</xdr:row>
      <xdr:rowOff>38100</xdr:rowOff>
    </xdr:from>
    <xdr:to>
      <xdr:col>5</xdr:col>
      <xdr:colOff>1428750</xdr:colOff>
      <xdr:row>14</xdr:row>
      <xdr:rowOff>238125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486400" y="4724400"/>
          <a:ext cx="2190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1133475</xdr:colOff>
      <xdr:row>1</xdr:row>
      <xdr:rowOff>114300</xdr:rowOff>
    </xdr:from>
    <xdr:to>
      <xdr:col>6</xdr:col>
      <xdr:colOff>514350</xdr:colOff>
      <xdr:row>3</xdr:row>
      <xdr:rowOff>209550</xdr:rowOff>
    </xdr:to>
    <xdr:pic>
      <xdr:nvPicPr>
        <xdr:cNvPr id="4" name="Picture 4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410200" y="314325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14</xdr:row>
      <xdr:rowOff>28575</xdr:rowOff>
    </xdr:from>
    <xdr:to>
      <xdr:col>5</xdr:col>
      <xdr:colOff>314325</xdr:colOff>
      <xdr:row>14</xdr:row>
      <xdr:rowOff>228600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71975" y="4714875"/>
          <a:ext cx="2190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1209675</xdr:colOff>
      <xdr:row>14</xdr:row>
      <xdr:rowOff>38100</xdr:rowOff>
    </xdr:from>
    <xdr:to>
      <xdr:col>5</xdr:col>
      <xdr:colOff>1428750</xdr:colOff>
      <xdr:row>14</xdr:row>
      <xdr:rowOff>238125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486400" y="4724400"/>
          <a:ext cx="2190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1028700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94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1171575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9</xdr:col>
      <xdr:colOff>114300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990600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904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104775</xdr:rowOff>
    </xdr:from>
    <xdr:to>
      <xdr:col>9</xdr:col>
      <xdr:colOff>76200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435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104775</xdr:rowOff>
    </xdr:from>
    <xdr:to>
      <xdr:col>9</xdr:col>
      <xdr:colOff>76200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435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4</xdr:row>
      <xdr:rowOff>66675</xdr:rowOff>
    </xdr:from>
    <xdr:to>
      <xdr:col>8</xdr:col>
      <xdr:colOff>1057275</xdr:colOff>
      <xdr:row>7</xdr:row>
      <xdr:rowOff>228600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62575" y="876300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76200</xdr:rowOff>
    </xdr:from>
    <xdr:to>
      <xdr:col>9</xdr:col>
      <xdr:colOff>76200</xdr:colOff>
      <xdr:row>7</xdr:row>
      <xdr:rowOff>238125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43525" y="8858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57150</xdr:rowOff>
    </xdr:from>
    <xdr:to>
      <xdr:col>8</xdr:col>
      <xdr:colOff>1028700</xdr:colOff>
      <xdr:row>7</xdr:row>
      <xdr:rowOff>219075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43525" y="866775"/>
          <a:ext cx="981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95250</xdr:rowOff>
    </xdr:from>
    <xdr:to>
      <xdr:col>9</xdr:col>
      <xdr:colOff>9525</xdr:colOff>
      <xdr:row>7</xdr:row>
      <xdr:rowOff>257175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43525" y="904875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1028700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752475"/>
          <a:ext cx="94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4</xdr:row>
      <xdr:rowOff>123825</xdr:rowOff>
    </xdr:from>
    <xdr:to>
      <xdr:col>9</xdr:col>
      <xdr:colOff>9525</xdr:colOff>
      <xdr:row>7</xdr:row>
      <xdr:rowOff>285750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05425" y="933450"/>
          <a:ext cx="1057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95250</xdr:rowOff>
    </xdr:from>
    <xdr:to>
      <xdr:col>9</xdr:col>
      <xdr:colOff>47625</xdr:colOff>
      <xdr:row>7</xdr:row>
      <xdr:rowOff>257175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9048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1171575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104775</xdr:rowOff>
    </xdr:from>
    <xdr:to>
      <xdr:col>8</xdr:col>
      <xdr:colOff>1047750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43525" y="91440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9</xdr:col>
      <xdr:colOff>28575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295900" y="8096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9</xdr:col>
      <xdr:colOff>114300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95250</xdr:rowOff>
    </xdr:from>
    <xdr:to>
      <xdr:col>9</xdr:col>
      <xdr:colOff>19050</xdr:colOff>
      <xdr:row>7</xdr:row>
      <xdr:rowOff>257175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904875"/>
          <a:ext cx="1038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1047750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295900" y="809625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114300</xdr:rowOff>
    </xdr:from>
    <xdr:to>
      <xdr:col>9</xdr:col>
      <xdr:colOff>28575</xdr:colOff>
      <xdr:row>7</xdr:row>
      <xdr:rowOff>276225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923925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104775</xdr:rowOff>
    </xdr:from>
    <xdr:to>
      <xdr:col>9</xdr:col>
      <xdr:colOff>47625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1009650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752475"/>
          <a:ext cx="923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104775</xdr:rowOff>
    </xdr:from>
    <xdr:to>
      <xdr:col>9</xdr:col>
      <xdr:colOff>28575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295900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4</xdr:row>
      <xdr:rowOff>85725</xdr:rowOff>
    </xdr:from>
    <xdr:to>
      <xdr:col>9</xdr:col>
      <xdr:colOff>38100</xdr:colOff>
      <xdr:row>7</xdr:row>
      <xdr:rowOff>247650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05425" y="89535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95250</xdr:rowOff>
    </xdr:from>
    <xdr:to>
      <xdr:col>9</xdr:col>
      <xdr:colOff>47625</xdr:colOff>
      <xdr:row>7</xdr:row>
      <xdr:rowOff>257175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9048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85725</xdr:rowOff>
    </xdr:from>
    <xdr:to>
      <xdr:col>9</xdr:col>
      <xdr:colOff>47625</xdr:colOff>
      <xdr:row>7</xdr:row>
      <xdr:rowOff>247650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89535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95250</xdr:rowOff>
    </xdr:from>
    <xdr:to>
      <xdr:col>8</xdr:col>
      <xdr:colOff>1038225</xdr:colOff>
      <xdr:row>7</xdr:row>
      <xdr:rowOff>257175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904875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4</xdr:row>
      <xdr:rowOff>0</xdr:rowOff>
    </xdr:from>
    <xdr:to>
      <xdr:col>8</xdr:col>
      <xdr:colOff>1438275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648325" y="8096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4</xdr:row>
      <xdr:rowOff>0</xdr:rowOff>
    </xdr:from>
    <xdr:to>
      <xdr:col>8</xdr:col>
      <xdr:colOff>1038225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24475" y="809625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66675</xdr:rowOff>
    </xdr:from>
    <xdr:to>
      <xdr:col>8</xdr:col>
      <xdr:colOff>1028700</xdr:colOff>
      <xdr:row>7</xdr:row>
      <xdr:rowOff>228600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876300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9525</xdr:rowOff>
    </xdr:from>
    <xdr:to>
      <xdr:col>8</xdr:col>
      <xdr:colOff>1038225</xdr:colOff>
      <xdr:row>7</xdr:row>
      <xdr:rowOff>171450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81915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1171575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4</xdr:row>
      <xdr:rowOff>104775</xdr:rowOff>
    </xdr:from>
    <xdr:to>
      <xdr:col>8</xdr:col>
      <xdr:colOff>1038225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72100" y="752475"/>
          <a:ext cx="962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4</xdr:row>
      <xdr:rowOff>47625</xdr:rowOff>
    </xdr:from>
    <xdr:to>
      <xdr:col>9</xdr:col>
      <xdr:colOff>38100</xdr:colOff>
      <xdr:row>7</xdr:row>
      <xdr:rowOff>209550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05425" y="85725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0</xdr:rowOff>
    </xdr:from>
    <xdr:to>
      <xdr:col>8</xdr:col>
      <xdr:colOff>1028700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809625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9</xdr:col>
      <xdr:colOff>114300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76200</xdr:rowOff>
    </xdr:from>
    <xdr:to>
      <xdr:col>9</xdr:col>
      <xdr:colOff>47625</xdr:colOff>
      <xdr:row>7</xdr:row>
      <xdr:rowOff>238125</xdr:rowOff>
    </xdr:to>
    <xdr:pic>
      <xdr:nvPicPr>
        <xdr:cNvPr id="2" name="Picture 2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8858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4</xdr:row>
      <xdr:rowOff>85725</xdr:rowOff>
    </xdr:from>
    <xdr:to>
      <xdr:col>8</xdr:col>
      <xdr:colOff>1028700</xdr:colOff>
      <xdr:row>7</xdr:row>
      <xdr:rowOff>247650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24475" y="89535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104775</xdr:rowOff>
    </xdr:from>
    <xdr:to>
      <xdr:col>8</xdr:col>
      <xdr:colOff>1038225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91440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104775</xdr:rowOff>
    </xdr:from>
    <xdr:to>
      <xdr:col>8</xdr:col>
      <xdr:colOff>1047750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43525" y="91440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104775</xdr:rowOff>
    </xdr:from>
    <xdr:to>
      <xdr:col>8</xdr:col>
      <xdr:colOff>1019175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91440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104775</xdr:rowOff>
    </xdr:from>
    <xdr:to>
      <xdr:col>9</xdr:col>
      <xdr:colOff>9525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914400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104775</xdr:rowOff>
    </xdr:from>
    <xdr:to>
      <xdr:col>9</xdr:col>
      <xdr:colOff>66675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104775</xdr:rowOff>
    </xdr:from>
    <xdr:to>
      <xdr:col>8</xdr:col>
      <xdr:colOff>1038225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91440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1009650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752475"/>
          <a:ext cx="923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4</xdr:row>
      <xdr:rowOff>104775</xdr:rowOff>
    </xdr:from>
    <xdr:to>
      <xdr:col>9</xdr:col>
      <xdr:colOff>9525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24475" y="914400"/>
          <a:ext cx="1038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104775</xdr:rowOff>
    </xdr:from>
    <xdr:to>
      <xdr:col>8</xdr:col>
      <xdr:colOff>1047750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914400"/>
          <a:ext cx="1028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1028700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295900" y="809625"/>
          <a:ext cx="1028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4</xdr:row>
      <xdr:rowOff>104775</xdr:rowOff>
    </xdr:from>
    <xdr:to>
      <xdr:col>8</xdr:col>
      <xdr:colOff>1038225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24475" y="91440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1047750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295900" y="809625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85725</xdr:rowOff>
    </xdr:from>
    <xdr:to>
      <xdr:col>8</xdr:col>
      <xdr:colOff>1009650</xdr:colOff>
      <xdr:row>7</xdr:row>
      <xdr:rowOff>247650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895350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1047750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295900" y="809625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1047750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295900" y="809625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85725</xdr:rowOff>
    </xdr:from>
    <xdr:to>
      <xdr:col>8</xdr:col>
      <xdr:colOff>1019175</xdr:colOff>
      <xdr:row>7</xdr:row>
      <xdr:rowOff>247650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89535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76200</xdr:rowOff>
    </xdr:from>
    <xdr:to>
      <xdr:col>8</xdr:col>
      <xdr:colOff>1057275</xdr:colOff>
      <xdr:row>7</xdr:row>
      <xdr:rowOff>238125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14950" y="885825"/>
          <a:ext cx="1038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4</xdr:row>
      <xdr:rowOff>9525</xdr:rowOff>
    </xdr:from>
    <xdr:to>
      <xdr:col>8</xdr:col>
      <xdr:colOff>981075</xdr:colOff>
      <xdr:row>7</xdr:row>
      <xdr:rowOff>171450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34000" y="819150"/>
          <a:ext cx="94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4</xdr:row>
      <xdr:rowOff>104775</xdr:rowOff>
    </xdr:from>
    <xdr:to>
      <xdr:col>8</xdr:col>
      <xdr:colOff>1047750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24475" y="91440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4</xdr:row>
      <xdr:rowOff>47625</xdr:rowOff>
    </xdr:from>
    <xdr:to>
      <xdr:col>8</xdr:col>
      <xdr:colOff>1619250</xdr:colOff>
      <xdr:row>7</xdr:row>
      <xdr:rowOff>209550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829300" y="85725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9</xdr:col>
      <xdr:colOff>0</xdr:colOff>
      <xdr:row>7</xdr:row>
      <xdr:rowOff>161925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295900" y="809625"/>
          <a:ext cx="1057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4</xdr:row>
      <xdr:rowOff>104775</xdr:rowOff>
    </xdr:from>
    <xdr:to>
      <xdr:col>8</xdr:col>
      <xdr:colOff>1038225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24475" y="91440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1171575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4</xdr:row>
      <xdr:rowOff>104775</xdr:rowOff>
    </xdr:from>
    <xdr:to>
      <xdr:col>8</xdr:col>
      <xdr:colOff>1028700</xdr:colOff>
      <xdr:row>7</xdr:row>
      <xdr:rowOff>266700</xdr:rowOff>
    </xdr:to>
    <xdr:pic>
      <xdr:nvPicPr>
        <xdr:cNvPr id="1" name="Picture 1" descr="pc official logo"/>
        <xdr:cNvPicPr preferRelativeResize="1">
          <a:picLocks noChangeAspect="1"/>
        </xdr:cNvPicPr>
      </xdr:nvPicPr>
      <xdr:blipFill>
        <a:blip r:embed="rId1"/>
        <a:srcRect l="3764" t="3764" r="3764" b="3764"/>
        <a:stretch>
          <a:fillRect/>
        </a:stretch>
      </xdr:blipFill>
      <xdr:spPr>
        <a:xfrm>
          <a:off x="5381625" y="914400"/>
          <a:ext cx="94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urbotax.intuit.com/support/kb/tax-content/tax-tips/7395.html" TargetMode="Externa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tabSelected="1" zoomScalePageLayoutView="0" workbookViewId="0" topLeftCell="A1">
      <selection activeCell="P20" sqref="P20"/>
    </sheetView>
  </sheetViews>
  <sheetFormatPr defaultColWidth="9.140625" defaultRowHeight="12.75"/>
  <sheetData>
    <row r="2" spans="2:14" ht="17.25" customHeight="1">
      <c r="B2" s="200" t="s">
        <v>286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2:14" ht="17.25" customHeight="1"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2:14" ht="17.25" customHeight="1">
      <c r="B4" s="202" t="s">
        <v>265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2:14" ht="17.25" customHeight="1">
      <c r="B5" s="203" t="s">
        <v>266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2:14" ht="17.25" customHeight="1">
      <c r="B6" s="203" t="s">
        <v>287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2:14" ht="17.25" customHeight="1">
      <c r="B7" s="204" t="s">
        <v>288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2:14" ht="17.25" customHeight="1">
      <c r="B8" s="204" t="s">
        <v>267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2:14" ht="17.25" customHeight="1">
      <c r="B9" s="204" t="s">
        <v>268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2:14" ht="17.25" customHeight="1">
      <c r="B10" s="204" t="s">
        <v>269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</row>
    <row r="11" spans="2:14" ht="17.25" customHeight="1">
      <c r="B11" s="205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2:14" ht="17.25" customHeight="1">
      <c r="B12" s="206" t="s">
        <v>270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2:14" ht="17.25" customHeight="1">
      <c r="B13" s="204" t="s">
        <v>271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2:14" ht="17.25" customHeight="1">
      <c r="B14" s="204" t="s">
        <v>272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2:14" ht="17.25" customHeight="1">
      <c r="B15" s="207" t="s">
        <v>273</v>
      </c>
      <c r="C15" s="208"/>
      <c r="D15" s="208"/>
      <c r="E15" s="208"/>
      <c r="F15" s="209"/>
      <c r="G15" s="201"/>
      <c r="H15" s="210" t="s">
        <v>274</v>
      </c>
      <c r="I15" s="211"/>
      <c r="J15" s="211"/>
      <c r="K15" s="211"/>
      <c r="L15" s="212"/>
      <c r="M15" s="201"/>
      <c r="N15" s="201"/>
    </row>
    <row r="16" spans="2:14" ht="17.25" customHeight="1">
      <c r="B16" s="201"/>
      <c r="C16" s="201"/>
      <c r="D16" s="201"/>
      <c r="E16" s="201"/>
      <c r="F16" s="201"/>
      <c r="G16" s="201"/>
      <c r="H16" s="213" t="s">
        <v>274</v>
      </c>
      <c r="I16" s="214"/>
      <c r="J16" s="214"/>
      <c r="K16" s="214"/>
      <c r="L16" s="215"/>
      <c r="M16" s="201"/>
      <c r="N16" s="201"/>
    </row>
    <row r="17" spans="2:14" ht="17.25" customHeight="1">
      <c r="B17" s="204" t="s">
        <v>289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2:14" ht="17.25" customHeight="1">
      <c r="B18" s="204" t="s">
        <v>275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</row>
    <row r="19" spans="2:14" ht="17.25" customHeight="1">
      <c r="B19" s="216" t="s">
        <v>276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</row>
    <row r="20" spans="2:14" ht="17.25" customHeight="1">
      <c r="B20" s="204" t="s">
        <v>277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</row>
    <row r="21" spans="2:14" ht="17.25" customHeight="1">
      <c r="B21" s="216" t="s">
        <v>278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2:14" ht="17.25" customHeight="1">
      <c r="B22" s="216" t="s">
        <v>279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2:14" ht="17.25" customHeight="1">
      <c r="B23" s="204" t="s">
        <v>290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2:14" ht="17.25" customHeight="1">
      <c r="B24" s="216" t="s">
        <v>280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spans="2:14" ht="17.25" customHeight="1">
      <c r="B25" s="204" t="s">
        <v>281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</row>
    <row r="26" spans="2:14" ht="17.25" customHeight="1">
      <c r="B26" s="217" t="s">
        <v>282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27" spans="2:14" ht="17.25" customHeight="1">
      <c r="B27" s="219" t="s">
        <v>283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</row>
    <row r="28" spans="2:14" ht="17.25" customHeight="1">
      <c r="B28" s="220" t="s">
        <v>284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</row>
    <row r="29" spans="2:14" ht="17.25" customHeight="1">
      <c r="B29" s="221" t="s">
        <v>285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</row>
    <row r="30" ht="15">
      <c r="B30" s="222"/>
    </row>
    <row r="31" ht="15">
      <c r="B31" s="222"/>
    </row>
    <row r="32" ht="15">
      <c r="B32" s="222"/>
    </row>
    <row r="33" ht="15">
      <c r="B33" s="222"/>
    </row>
    <row r="34" ht="15">
      <c r="B34" s="223"/>
    </row>
    <row r="35" ht="15">
      <c r="B35" s="224"/>
    </row>
    <row r="36" ht="15">
      <c r="B36" s="222"/>
    </row>
    <row r="37" ht="15">
      <c r="B37" s="225"/>
    </row>
    <row r="38" ht="15">
      <c r="B38" s="226"/>
    </row>
    <row r="39" ht="15">
      <c r="B39" s="226"/>
    </row>
  </sheetData>
  <sheetProtection/>
  <mergeCells count="3">
    <mergeCell ref="B15:F15"/>
    <mergeCell ref="H15:L15"/>
    <mergeCell ref="H16:L16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5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18.28125" style="2" customWidth="1"/>
    <col min="10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Belize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203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40045</v>
      </c>
      <c r="J13" s="119">
        <v>40108</v>
      </c>
      <c r="K13" s="44">
        <f>+J13-I13+1</f>
        <v>64</v>
      </c>
      <c r="L13" s="129">
        <v>5</v>
      </c>
      <c r="M13" s="130">
        <f>ROUND(K13*L13,2)</f>
        <v>320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$"&amp;ROUND(SUM(B20:B23),2)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225</v>
      </c>
      <c r="J20" s="121" t="s">
        <v>28</v>
      </c>
      <c r="K20" s="125">
        <v>675</v>
      </c>
      <c r="L20" s="122">
        <v>0.26</v>
      </c>
      <c r="M20" s="126">
        <f>ROUND(K20*L20,2)</f>
        <v>175.5</v>
      </c>
      <c r="N20" s="75" t="str">
        <f>IF($G20=0,"----",M20*$G20)</f>
        <v>----</v>
      </c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227</v>
      </c>
      <c r="J21" s="121" t="s">
        <v>28</v>
      </c>
      <c r="K21" s="125">
        <v>620</v>
      </c>
      <c r="L21" s="122">
        <v>0.28</v>
      </c>
      <c r="M21" s="126">
        <f>ROUND(K21*L21,2)</f>
        <v>173.6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228</v>
      </c>
      <c r="J22" s="121" t="s">
        <v>28</v>
      </c>
      <c r="K22" s="125">
        <v>520</v>
      </c>
      <c r="L22" s="122">
        <v>0.34</v>
      </c>
      <c r="M22" s="126">
        <f>ROUND(K22*L22,2)</f>
        <v>176.8</v>
      </c>
      <c r="N22" s="75" t="str">
        <f>IF($G22=0,"----",M22*$G22)</f>
        <v>----</v>
      </c>
    </row>
    <row r="23" spans="1:14" ht="15" customHeight="1" thickBo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226</v>
      </c>
      <c r="J23" s="121" t="s">
        <v>28</v>
      </c>
      <c r="K23" s="125">
        <v>470</v>
      </c>
      <c r="L23" s="122">
        <v>0.37</v>
      </c>
      <c r="M23" s="126">
        <f>ROUND(K23*L23,2)</f>
        <v>173.9</v>
      </c>
      <c r="N23" s="75" t="str">
        <f>IF($G23=0,"----",M23*$G23)</f>
        <v>----</v>
      </c>
    </row>
    <row r="24" spans="1:16" ht="20.25" customHeight="1" thickBot="1">
      <c r="A24" s="1"/>
      <c r="B24" s="78">
        <f>SUM(B20:B23)</f>
        <v>0</v>
      </c>
      <c r="C24" s="79"/>
      <c r="D24" s="79"/>
      <c r="E24" s="79"/>
      <c r="F24" s="79"/>
      <c r="G24" s="79"/>
      <c r="H24" s="1"/>
      <c r="I24" s="80"/>
      <c r="J24" s="52"/>
      <c r="K24" s="81"/>
      <c r="L24" s="82"/>
      <c r="M24" s="54" t="s">
        <v>29</v>
      </c>
      <c r="N24" s="83" t="str">
        <f>IF(SUM(N20:N23)=0,"----",SUM((N20:N23)))</f>
        <v>----</v>
      </c>
      <c r="P24" s="84"/>
    </row>
    <row r="25" spans="1:14" ht="15" customHeight="1" thickBot="1">
      <c r="A25" s="1"/>
      <c r="B25" s="79"/>
      <c r="C25" s="79"/>
      <c r="D25" s="79"/>
      <c r="E25" s="79"/>
      <c r="F25" s="79"/>
      <c r="H25" s="1"/>
      <c r="I25" s="85"/>
      <c r="J25" s="21"/>
      <c r="K25" s="86"/>
      <c r="L25" s="87"/>
      <c r="M25" s="23"/>
      <c r="N25" s="23"/>
    </row>
    <row r="26" spans="1:17" ht="25.5" customHeight="1">
      <c r="A26" s="1"/>
      <c r="B26" s="71"/>
      <c r="C26" s="2"/>
      <c r="D26" s="2"/>
      <c r="E26" s="2"/>
      <c r="F26" s="71"/>
      <c r="H26" s="1"/>
      <c r="I26" s="24" t="s">
        <v>30</v>
      </c>
      <c r="J26" s="25"/>
      <c r="K26" s="88"/>
      <c r="L26" s="89"/>
      <c r="M26" s="90" t="s">
        <v>31</v>
      </c>
      <c r="N26" s="26"/>
      <c r="P26" s="91"/>
      <c r="Q26" s="3"/>
    </row>
    <row r="27" spans="1:17" ht="28.5" customHeight="1">
      <c r="A27" s="1"/>
      <c r="B27" s="92" t="s">
        <v>32</v>
      </c>
      <c r="C27" s="93"/>
      <c r="D27" s="93"/>
      <c r="E27" s="94"/>
      <c r="F27" s="71"/>
      <c r="G27" s="95" t="s">
        <v>33</v>
      </c>
      <c r="H27" s="1"/>
      <c r="I27" s="175" t="s">
        <v>34</v>
      </c>
      <c r="J27" s="186"/>
      <c r="K27" s="186"/>
      <c r="L27" s="186"/>
      <c r="M27" s="184" t="s">
        <v>35</v>
      </c>
      <c r="N27" s="185"/>
      <c r="P27" s="3"/>
      <c r="Q27" s="3"/>
    </row>
    <row r="28" spans="1:17" ht="45" customHeight="1">
      <c r="A28" s="1"/>
      <c r="B28" s="67" t="s">
        <v>18</v>
      </c>
      <c r="C28" s="67" t="s">
        <v>36</v>
      </c>
      <c r="D28" s="67" t="s">
        <v>37</v>
      </c>
      <c r="E28" s="67" t="s">
        <v>38</v>
      </c>
      <c r="G28" s="67" t="s">
        <v>39</v>
      </c>
      <c r="H28" s="1"/>
      <c r="I28" s="96" t="s">
        <v>27</v>
      </c>
      <c r="J28" s="97" t="s">
        <v>56</v>
      </c>
      <c r="K28" s="3"/>
      <c r="L28" s="3"/>
      <c r="M28" s="36" t="s">
        <v>40</v>
      </c>
      <c r="N28" s="37" t="s">
        <v>56</v>
      </c>
      <c r="Q28" s="3"/>
    </row>
    <row r="29" spans="1:17" ht="15" customHeight="1" thickBot="1">
      <c r="A29" s="1"/>
      <c r="B29" s="98">
        <f>SUM(C20:C23)</f>
        <v>0</v>
      </c>
      <c r="C29" s="98">
        <f>COUNTIF(D20:F23,"&gt;=16")</f>
        <v>0</v>
      </c>
      <c r="D29" s="98">
        <f>(COUNTIF(D20:F23,"&gt;0")-C29)/2</f>
        <v>0</v>
      </c>
      <c r="E29" s="98">
        <f>SUM(B29:D29)</f>
        <v>0</v>
      </c>
      <c r="G29" s="99">
        <v>0</v>
      </c>
      <c r="H29" s="1"/>
      <c r="I29" s="100">
        <v>24</v>
      </c>
      <c r="J29" s="101" t="str">
        <f>IF(E29*I29=0,"----",E29*I29)</f>
        <v>----</v>
      </c>
      <c r="K29" s="3"/>
      <c r="L29" s="3"/>
      <c r="M29" s="102">
        <v>12</v>
      </c>
      <c r="N29" s="76" t="str">
        <f>IF($G29=0,"----",M29*$G29)</f>
        <v>----</v>
      </c>
      <c r="Q29" s="3"/>
    </row>
    <row r="30" spans="1:17" ht="15" customHeight="1" thickBot="1">
      <c r="A30" s="1"/>
      <c r="B30" s="12"/>
      <c r="C30" s="12"/>
      <c r="D30" s="12"/>
      <c r="E30" s="103"/>
      <c r="F30" s="12"/>
      <c r="G30" s="12"/>
      <c r="H30" s="1"/>
      <c r="I30" s="104"/>
      <c r="J30" s="105"/>
      <c r="K30" s="105"/>
      <c r="L30" s="106"/>
      <c r="M30" s="54" t="s">
        <v>41</v>
      </c>
      <c r="N30" s="83" t="str">
        <f>IF(SUM(J29,N29)=0,"----",SUM((J29,N29)))</f>
        <v>----</v>
      </c>
      <c r="Q30" s="3"/>
    </row>
    <row r="31" spans="1:15" s="12" customFormat="1" ht="15" customHeight="1">
      <c r="A31" s="5"/>
      <c r="E31" s="2"/>
      <c r="F31" s="2"/>
      <c r="H31" s="5"/>
      <c r="I31" s="2"/>
      <c r="J31" s="2"/>
      <c r="K31" s="2"/>
      <c r="L31" s="2"/>
      <c r="M31" s="2"/>
      <c r="N31" s="2"/>
      <c r="O31" s="11"/>
    </row>
    <row r="32" spans="1:15" s="12" customFormat="1" ht="20.25" customHeight="1">
      <c r="A32" s="5"/>
      <c r="H32" s="5"/>
      <c r="I32" s="2"/>
      <c r="J32" s="2"/>
      <c r="K32" s="2"/>
      <c r="L32" s="2"/>
      <c r="M32" s="23" t="s">
        <v>42</v>
      </c>
      <c r="N32" s="107">
        <f>SUM(N14,N24,N30)</f>
        <v>0</v>
      </c>
      <c r="O32" s="11"/>
    </row>
    <row r="33" spans="1:14" ht="15.75" thickBot="1">
      <c r="A33" s="1"/>
      <c r="B33" s="2"/>
      <c r="C33" s="2"/>
      <c r="D33" s="2"/>
      <c r="E33" s="2"/>
      <c r="F33" s="2"/>
      <c r="H33" s="1"/>
      <c r="M33" s="23" t="s">
        <v>43</v>
      </c>
      <c r="N33" s="107">
        <f>IF(G35=0,"",G35)</f>
      </c>
    </row>
    <row r="34" spans="1:14" ht="19.5" customHeight="1" thickBot="1">
      <c r="A34" s="1"/>
      <c r="B34" s="108" t="s">
        <v>44</v>
      </c>
      <c r="C34" s="109"/>
      <c r="D34" s="109"/>
      <c r="E34" s="109"/>
      <c r="F34" s="109"/>
      <c r="G34" s="110"/>
      <c r="H34" s="1"/>
      <c r="M34" s="111" t="s">
        <v>54</v>
      </c>
      <c r="N34" s="112">
        <f>IF(G35=0,"",SUM(N32:N33))</f>
      </c>
    </row>
    <row r="35" spans="1:14" ht="19.5" customHeight="1">
      <c r="A35" s="1"/>
      <c r="B35" s="183" t="s">
        <v>45</v>
      </c>
      <c r="C35" s="183"/>
      <c r="D35" s="183"/>
      <c r="E35" s="183"/>
      <c r="F35" s="183"/>
      <c r="G35" s="113">
        <v>0</v>
      </c>
      <c r="H35" s="1"/>
      <c r="M35" s="111"/>
      <c r="N35" s="114" t="s">
        <v>55</v>
      </c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15" t="s">
        <v>46</v>
      </c>
      <c r="J36" s="29"/>
      <c r="K36" s="29"/>
      <c r="L36" s="29"/>
      <c r="M36" s="29"/>
      <c r="N36" s="29"/>
    </row>
    <row r="37" spans="1:17" ht="12.75">
      <c r="A37" s="2"/>
      <c r="B37" s="2"/>
      <c r="C37" s="2"/>
      <c r="D37" s="2"/>
      <c r="E37" s="2"/>
      <c r="F37" s="2"/>
      <c r="H37" s="2"/>
      <c r="P37" s="116"/>
      <c r="Q37" s="116"/>
    </row>
    <row r="38" ht="28.5" customHeight="1">
      <c r="H38" s="2"/>
    </row>
    <row r="39" ht="12.75">
      <c r="H39" s="2"/>
    </row>
    <row r="58" spans="2:7" ht="12.75">
      <c r="B58" s="11"/>
      <c r="C58" s="11"/>
      <c r="G58" s="12"/>
    </row>
  </sheetData>
  <sheetProtection/>
  <mergeCells count="14">
    <mergeCell ref="B35:F35"/>
    <mergeCell ref="I11:N11"/>
    <mergeCell ref="I17:N17"/>
    <mergeCell ref="I18:N18"/>
    <mergeCell ref="I27:L27"/>
    <mergeCell ref="M27:N27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Benin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209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40018</v>
      </c>
      <c r="J13" s="119">
        <v>40081</v>
      </c>
      <c r="K13" s="44">
        <f>+J13-I13+1</f>
        <v>64</v>
      </c>
      <c r="L13" s="129">
        <v>3.27</v>
      </c>
      <c r="M13" s="130">
        <f>ROUND(K13*L13,2)</f>
        <v>209.28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$"&amp;ROUND(SUM(B20:B22),2)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61</v>
      </c>
      <c r="J20" s="121" t="s">
        <v>51</v>
      </c>
      <c r="K20" s="125">
        <v>241.56</v>
      </c>
      <c r="L20" s="122">
        <v>0.24</v>
      </c>
      <c r="M20" s="126">
        <f>ROUND(K20*L20,2)</f>
        <v>57.97</v>
      </c>
      <c r="N20" s="75" t="str">
        <f>IF($G20=0,"----",M20*$G20)</f>
        <v>----</v>
      </c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61</v>
      </c>
      <c r="J21" s="121" t="s">
        <v>52</v>
      </c>
      <c r="K21" s="125">
        <v>231.13</v>
      </c>
      <c r="L21" s="122">
        <v>0.3</v>
      </c>
      <c r="M21" s="126">
        <f>ROUND(K21*L21,2)</f>
        <v>69.34</v>
      </c>
      <c r="N21" s="75" t="str">
        <f>IF($G21=0,"----",M21*$G21)</f>
        <v>----</v>
      </c>
    </row>
    <row r="22" spans="1:14" ht="15" customHeight="1" thickBo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62</v>
      </c>
      <c r="J22" s="121" t="s">
        <v>28</v>
      </c>
      <c r="K22" s="125">
        <v>240.28</v>
      </c>
      <c r="L22" s="122">
        <v>0.41</v>
      </c>
      <c r="M22" s="126">
        <f>ROUND(K22*L22,2)</f>
        <v>98.51</v>
      </c>
      <c r="N22" s="75" t="str">
        <f>IF($G22=0,"----",M22*$G22)</f>
        <v>----</v>
      </c>
    </row>
    <row r="23" spans="1:16" ht="20.25" customHeight="1" thickBot="1">
      <c r="A23" s="1"/>
      <c r="B23" s="78">
        <f>SUM(B20:B22)</f>
        <v>0</v>
      </c>
      <c r="C23" s="79"/>
      <c r="D23" s="79"/>
      <c r="E23" s="79"/>
      <c r="F23" s="79"/>
      <c r="G23" s="79"/>
      <c r="H23" s="1"/>
      <c r="I23" s="80"/>
      <c r="J23" s="52"/>
      <c r="K23" s="81"/>
      <c r="L23" s="82"/>
      <c r="M23" s="54" t="s">
        <v>29</v>
      </c>
      <c r="N23" s="83" t="str">
        <f>IF(SUM(N20:N22)=0,"----",SUM((N20:N22)))</f>
        <v>----</v>
      </c>
      <c r="P23" s="84"/>
    </row>
    <row r="24" spans="1:14" ht="15" customHeight="1" thickBot="1">
      <c r="A24" s="1"/>
      <c r="B24" s="79"/>
      <c r="C24" s="79"/>
      <c r="D24" s="79"/>
      <c r="E24" s="79"/>
      <c r="F24" s="79"/>
      <c r="H24" s="1"/>
      <c r="I24" s="85"/>
      <c r="J24" s="21"/>
      <c r="K24" s="86"/>
      <c r="L24" s="87"/>
      <c r="M24" s="23"/>
      <c r="N24" s="23"/>
    </row>
    <row r="25" spans="1:17" ht="25.5" customHeight="1">
      <c r="A25" s="1"/>
      <c r="B25" s="71"/>
      <c r="C25" s="2"/>
      <c r="D25" s="2"/>
      <c r="E25" s="2"/>
      <c r="F25" s="71"/>
      <c r="H25" s="1"/>
      <c r="I25" s="24" t="s">
        <v>30</v>
      </c>
      <c r="J25" s="25"/>
      <c r="K25" s="88"/>
      <c r="L25" s="89"/>
      <c r="M25" s="90" t="s">
        <v>31</v>
      </c>
      <c r="N25" s="26"/>
      <c r="P25" s="91"/>
      <c r="Q25" s="3"/>
    </row>
    <row r="26" spans="1:17" ht="28.5" customHeight="1">
      <c r="A26" s="1"/>
      <c r="B26" s="92" t="s">
        <v>32</v>
      </c>
      <c r="C26" s="93"/>
      <c r="D26" s="93"/>
      <c r="E26" s="94"/>
      <c r="F26" s="71"/>
      <c r="G26" s="95" t="s">
        <v>33</v>
      </c>
      <c r="H26" s="1"/>
      <c r="I26" s="175" t="s">
        <v>34</v>
      </c>
      <c r="J26" s="186"/>
      <c r="K26" s="186"/>
      <c r="L26" s="186"/>
      <c r="M26" s="184" t="s">
        <v>35</v>
      </c>
      <c r="N26" s="185"/>
      <c r="P26" s="3"/>
      <c r="Q26" s="3"/>
    </row>
    <row r="27" spans="1:17" ht="45" customHeight="1">
      <c r="A27" s="1"/>
      <c r="B27" s="67" t="s">
        <v>18</v>
      </c>
      <c r="C27" s="67" t="s">
        <v>36</v>
      </c>
      <c r="D27" s="67" t="s">
        <v>37</v>
      </c>
      <c r="E27" s="67" t="s">
        <v>38</v>
      </c>
      <c r="G27" s="67" t="s">
        <v>39</v>
      </c>
      <c r="H27" s="1"/>
      <c r="I27" s="96" t="s">
        <v>27</v>
      </c>
      <c r="J27" s="97" t="s">
        <v>56</v>
      </c>
      <c r="K27" s="3"/>
      <c r="L27" s="3"/>
      <c r="M27" s="36" t="s">
        <v>40</v>
      </c>
      <c r="N27" s="37" t="s">
        <v>56</v>
      </c>
      <c r="Q27" s="3"/>
    </row>
    <row r="28" spans="1:17" ht="15" customHeight="1" thickBot="1">
      <c r="A28" s="1"/>
      <c r="B28" s="98">
        <f>SUM(C20:C22)</f>
        <v>0</v>
      </c>
      <c r="C28" s="98">
        <f>COUNTIF(D20:F22,"&gt;=16")</f>
        <v>0</v>
      </c>
      <c r="D28" s="98">
        <f>(COUNTIF(D20:F22,"&gt;0")-C28)/2</f>
        <v>0</v>
      </c>
      <c r="E28" s="98">
        <f>SUM(B28:D28)</f>
        <v>0</v>
      </c>
      <c r="G28" s="99">
        <v>0</v>
      </c>
      <c r="H28" s="1"/>
      <c r="I28" s="100">
        <v>24</v>
      </c>
      <c r="J28" s="101" t="str">
        <f>IF(E28*I28=0,"----",E28*I28)</f>
        <v>----</v>
      </c>
      <c r="K28" s="3"/>
      <c r="L28" s="3"/>
      <c r="M28" s="102">
        <v>12</v>
      </c>
      <c r="N28" s="76" t="str">
        <f>IF($G28=0,"----",M28*$G28)</f>
        <v>----</v>
      </c>
      <c r="Q28" s="3"/>
    </row>
    <row r="29" spans="1:17" ht="15" customHeight="1" thickBot="1">
      <c r="A29" s="1"/>
      <c r="B29" s="12"/>
      <c r="C29" s="12"/>
      <c r="D29" s="12"/>
      <c r="E29" s="103"/>
      <c r="F29" s="12"/>
      <c r="G29" s="12"/>
      <c r="H29" s="1"/>
      <c r="I29" s="104"/>
      <c r="J29" s="105"/>
      <c r="K29" s="105"/>
      <c r="L29" s="106"/>
      <c r="M29" s="54" t="s">
        <v>41</v>
      </c>
      <c r="N29" s="83" t="str">
        <f>IF(SUM(J28,N28)=0,"----",SUM((J28,N28)))</f>
        <v>----</v>
      </c>
      <c r="Q29" s="3"/>
    </row>
    <row r="30" spans="1:15" s="12" customFormat="1" ht="15" customHeight="1">
      <c r="A30" s="5"/>
      <c r="E30" s="2"/>
      <c r="F30" s="2"/>
      <c r="H30" s="5"/>
      <c r="I30" s="2"/>
      <c r="J30" s="2"/>
      <c r="K30" s="2"/>
      <c r="L30" s="2"/>
      <c r="M30" s="2"/>
      <c r="N30" s="2"/>
      <c r="O30" s="11"/>
    </row>
    <row r="31" spans="1:15" s="12" customFormat="1" ht="20.25" customHeight="1">
      <c r="A31" s="5"/>
      <c r="H31" s="5"/>
      <c r="I31" s="2"/>
      <c r="J31" s="2"/>
      <c r="K31" s="2"/>
      <c r="L31" s="2"/>
      <c r="M31" s="23" t="s">
        <v>42</v>
      </c>
      <c r="N31" s="107">
        <f>SUM(N14,N23,N29)</f>
        <v>0</v>
      </c>
      <c r="O31" s="11"/>
    </row>
    <row r="32" spans="1:14" ht="15.75" thickBot="1">
      <c r="A32" s="1"/>
      <c r="B32" s="2"/>
      <c r="C32" s="2"/>
      <c r="D32" s="2"/>
      <c r="E32" s="2"/>
      <c r="F32" s="2"/>
      <c r="H32" s="1"/>
      <c r="M32" s="23" t="s">
        <v>43</v>
      </c>
      <c r="N32" s="107">
        <f>IF(G34=0,"",G34)</f>
      </c>
    </row>
    <row r="33" spans="1:14" ht="19.5" customHeight="1" thickBot="1">
      <c r="A33" s="1"/>
      <c r="B33" s="108" t="s">
        <v>44</v>
      </c>
      <c r="C33" s="109"/>
      <c r="D33" s="109"/>
      <c r="E33" s="109"/>
      <c r="F33" s="109"/>
      <c r="G33" s="110"/>
      <c r="H33" s="1"/>
      <c r="M33" s="111" t="s">
        <v>54</v>
      </c>
      <c r="N33" s="112">
        <f>IF(G34=0,"",SUM(N31:N32))</f>
      </c>
    </row>
    <row r="34" spans="1:14" ht="19.5" customHeight="1">
      <c r="A34" s="1"/>
      <c r="B34" s="183" t="s">
        <v>45</v>
      </c>
      <c r="C34" s="183"/>
      <c r="D34" s="183"/>
      <c r="E34" s="183"/>
      <c r="F34" s="183"/>
      <c r="G34" s="113">
        <v>0</v>
      </c>
      <c r="H34" s="1"/>
      <c r="M34" s="111"/>
      <c r="N34" s="114" t="s">
        <v>55</v>
      </c>
    </row>
    <row r="35" spans="1:14" ht="19.5" customHeight="1">
      <c r="A35" s="1"/>
      <c r="B35" s="1"/>
      <c r="C35" s="1"/>
      <c r="D35" s="1"/>
      <c r="E35" s="1"/>
      <c r="F35" s="1"/>
      <c r="G35" s="1"/>
      <c r="H35" s="1"/>
      <c r="I35" s="115" t="s">
        <v>46</v>
      </c>
      <c r="J35" s="29"/>
      <c r="K35" s="29"/>
      <c r="L35" s="29"/>
      <c r="M35" s="29"/>
      <c r="N35" s="29"/>
    </row>
    <row r="36" spans="1:17" ht="12.75">
      <c r="A36" s="2"/>
      <c r="B36" s="2"/>
      <c r="C36" s="2"/>
      <c r="D36" s="2"/>
      <c r="E36" s="2"/>
      <c r="F36" s="2"/>
      <c r="H36" s="2"/>
      <c r="P36" s="116"/>
      <c r="Q36" s="116"/>
    </row>
    <row r="37" ht="28.5" customHeight="1">
      <c r="H37" s="2"/>
    </row>
    <row r="38" ht="12.75">
      <c r="H38" s="2"/>
    </row>
    <row r="57" spans="2:7" ht="12.75">
      <c r="B57" s="11"/>
      <c r="C57" s="11"/>
      <c r="G57" s="12"/>
    </row>
  </sheetData>
  <sheetProtection/>
  <mergeCells count="14">
    <mergeCell ref="B34:F34"/>
    <mergeCell ref="I11:N11"/>
    <mergeCell ref="I17:N17"/>
    <mergeCell ref="I18:N18"/>
    <mergeCell ref="I26:L26"/>
    <mergeCell ref="M26:N26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19.57421875" style="2" customWidth="1"/>
    <col min="10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Botswana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215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39923</v>
      </c>
      <c r="J13" s="119">
        <v>39982</v>
      </c>
      <c r="K13" s="44">
        <f>+J13-I13+1</f>
        <v>60</v>
      </c>
      <c r="L13" s="129">
        <v>2.73</v>
      </c>
      <c r="M13" s="130">
        <f>ROUND(K13*L13,2)</f>
        <v>163.8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217</v>
      </c>
      <c r="J20" s="121" t="s">
        <v>28</v>
      </c>
      <c r="K20" s="125">
        <v>261.94</v>
      </c>
      <c r="L20" s="122">
        <v>0.08</v>
      </c>
      <c r="M20" s="126">
        <f>ROUND(K20*L20,2)</f>
        <v>20.96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218</v>
      </c>
      <c r="J21" s="121" t="s">
        <v>28</v>
      </c>
      <c r="K21" s="125">
        <v>230.56</v>
      </c>
      <c r="L21" s="122">
        <v>0.09</v>
      </c>
      <c r="M21" s="126">
        <f>ROUND(K21*L21,2)</f>
        <v>20.75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33:F33"/>
    <mergeCell ref="I11:N11"/>
    <mergeCell ref="I17:N17"/>
    <mergeCell ref="I18:N18"/>
    <mergeCell ref="I25:L25"/>
    <mergeCell ref="M25:N25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18.421875" style="2" customWidth="1"/>
    <col min="10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Bulgaria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237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39952</v>
      </c>
      <c r="J13" s="119">
        <v>40017</v>
      </c>
      <c r="K13" s="44">
        <f>+J13-I13+1</f>
        <v>66</v>
      </c>
      <c r="L13" s="129">
        <v>4.69</v>
      </c>
      <c r="M13" s="130">
        <f>ROUND(K13*L13,2)</f>
        <v>309.54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$"&amp;ROUND(SUM(B20:B22),2)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254</v>
      </c>
      <c r="J20" s="121" t="s">
        <v>28</v>
      </c>
      <c r="K20" s="125">
        <v>304.55</v>
      </c>
      <c r="L20" s="122">
        <v>0.207</v>
      </c>
      <c r="M20" s="126">
        <f>ROUND(K20*L20,2)</f>
        <v>63.04</v>
      </c>
      <c r="N20" s="75" t="str">
        <f>IF($G20=0,"----",M20*$G20)</f>
        <v>----</v>
      </c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255</v>
      </c>
      <c r="J21" s="121" t="s">
        <v>28</v>
      </c>
      <c r="K21" s="125">
        <v>317.94</v>
      </c>
      <c r="L21" s="122">
        <v>0.207</v>
      </c>
      <c r="M21" s="126">
        <f>ROUND(K21*L21,2)</f>
        <v>65.81</v>
      </c>
      <c r="N21" s="75" t="str">
        <f>IF($G21=0,"----",M21*$G21)</f>
        <v>----</v>
      </c>
    </row>
    <row r="22" spans="1:14" ht="15" customHeight="1" thickBo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256</v>
      </c>
      <c r="J22" s="121" t="s">
        <v>28</v>
      </c>
      <c r="K22" s="125">
        <v>331.33</v>
      </c>
      <c r="L22" s="122">
        <v>0.207</v>
      </c>
      <c r="M22" s="126">
        <f>ROUND(K22*L22,2)</f>
        <v>68.59</v>
      </c>
      <c r="N22" s="75" t="str">
        <f>IF($G22=0,"----",M22*$G22)</f>
        <v>----</v>
      </c>
    </row>
    <row r="23" spans="1:16" ht="20.25" customHeight="1" thickBot="1">
      <c r="A23" s="1"/>
      <c r="B23" s="78">
        <f>SUM(B20:B22)</f>
        <v>0</v>
      </c>
      <c r="C23" s="79"/>
      <c r="D23" s="79"/>
      <c r="E23" s="79"/>
      <c r="F23" s="79"/>
      <c r="G23" s="79"/>
      <c r="H23" s="1"/>
      <c r="I23" s="80"/>
      <c r="J23" s="52"/>
      <c r="K23" s="81"/>
      <c r="L23" s="82"/>
      <c r="M23" s="54" t="s">
        <v>29</v>
      </c>
      <c r="N23" s="83" t="str">
        <f>IF(SUM(N20:N22)=0,"----",SUM((N20:N22)))</f>
        <v>----</v>
      </c>
      <c r="P23" s="84"/>
    </row>
    <row r="24" spans="1:14" ht="15" customHeight="1" thickBot="1">
      <c r="A24" s="1"/>
      <c r="B24" s="79"/>
      <c r="C24" s="79"/>
      <c r="D24" s="79"/>
      <c r="E24" s="79"/>
      <c r="F24" s="79"/>
      <c r="H24" s="1"/>
      <c r="I24" s="85"/>
      <c r="J24" s="21"/>
      <c r="K24" s="86"/>
      <c r="L24" s="87"/>
      <c r="M24" s="23"/>
      <c r="N24" s="23"/>
    </row>
    <row r="25" spans="1:17" ht="25.5" customHeight="1">
      <c r="A25" s="1"/>
      <c r="B25" s="71"/>
      <c r="C25" s="2"/>
      <c r="D25" s="2"/>
      <c r="E25" s="2"/>
      <c r="F25" s="71"/>
      <c r="H25" s="1"/>
      <c r="I25" s="24" t="s">
        <v>30</v>
      </c>
      <c r="J25" s="25"/>
      <c r="K25" s="88"/>
      <c r="L25" s="89"/>
      <c r="M25" s="90" t="s">
        <v>31</v>
      </c>
      <c r="N25" s="26"/>
      <c r="P25" s="91"/>
      <c r="Q25" s="3"/>
    </row>
    <row r="26" spans="1:17" ht="28.5" customHeight="1">
      <c r="A26" s="1"/>
      <c r="B26" s="92" t="s">
        <v>32</v>
      </c>
      <c r="C26" s="93"/>
      <c r="D26" s="93"/>
      <c r="E26" s="94"/>
      <c r="F26" s="71"/>
      <c r="G26" s="95" t="s">
        <v>33</v>
      </c>
      <c r="H26" s="1"/>
      <c r="I26" s="175" t="s">
        <v>34</v>
      </c>
      <c r="J26" s="186"/>
      <c r="K26" s="186"/>
      <c r="L26" s="186"/>
      <c r="M26" s="184" t="s">
        <v>35</v>
      </c>
      <c r="N26" s="185"/>
      <c r="P26" s="3"/>
      <c r="Q26" s="3"/>
    </row>
    <row r="27" spans="1:17" ht="45" customHeight="1">
      <c r="A27" s="1"/>
      <c r="B27" s="67" t="s">
        <v>18</v>
      </c>
      <c r="C27" s="67" t="s">
        <v>36</v>
      </c>
      <c r="D27" s="67" t="s">
        <v>37</v>
      </c>
      <c r="E27" s="67" t="s">
        <v>38</v>
      </c>
      <c r="G27" s="67" t="s">
        <v>39</v>
      </c>
      <c r="H27" s="1"/>
      <c r="I27" s="96" t="s">
        <v>27</v>
      </c>
      <c r="J27" s="97" t="s">
        <v>56</v>
      </c>
      <c r="K27" s="3"/>
      <c r="L27" s="3"/>
      <c r="M27" s="36" t="s">
        <v>40</v>
      </c>
      <c r="N27" s="37" t="s">
        <v>56</v>
      </c>
      <c r="Q27" s="3"/>
    </row>
    <row r="28" spans="1:17" ht="15" customHeight="1" thickBot="1">
      <c r="A28" s="1"/>
      <c r="B28" s="98">
        <f>SUM(C20:C22)</f>
        <v>0</v>
      </c>
      <c r="C28" s="98">
        <f>COUNTIF(D20:F22,"&gt;=16")</f>
        <v>0</v>
      </c>
      <c r="D28" s="98">
        <f>(COUNTIF(D20:F22,"&gt;0")-C28)/2</f>
        <v>0</v>
      </c>
      <c r="E28" s="98">
        <f>SUM(B28:D28)</f>
        <v>0</v>
      </c>
      <c r="G28" s="99">
        <v>0</v>
      </c>
      <c r="H28" s="1"/>
      <c r="I28" s="100">
        <v>24</v>
      </c>
      <c r="J28" s="101" t="str">
        <f>IF(E28*I28=0,"----",E28*I28)</f>
        <v>----</v>
      </c>
      <c r="K28" s="3"/>
      <c r="L28" s="3"/>
      <c r="M28" s="102">
        <v>12</v>
      </c>
      <c r="N28" s="76" t="str">
        <f>IF($G28=0,"----",M28*$G28)</f>
        <v>----</v>
      </c>
      <c r="Q28" s="3"/>
    </row>
    <row r="29" spans="1:17" ht="15" customHeight="1" thickBot="1">
      <c r="A29" s="1"/>
      <c r="B29" s="12"/>
      <c r="C29" s="12"/>
      <c r="D29" s="12"/>
      <c r="E29" s="103"/>
      <c r="F29" s="12"/>
      <c r="G29" s="12"/>
      <c r="H29" s="1"/>
      <c r="I29" s="104"/>
      <c r="J29" s="105"/>
      <c r="K29" s="105"/>
      <c r="L29" s="106"/>
      <c r="M29" s="54" t="s">
        <v>41</v>
      </c>
      <c r="N29" s="83" t="str">
        <f>IF(SUM(J28,N28)=0,"----",SUM((J28,N28)))</f>
        <v>----</v>
      </c>
      <c r="Q29" s="3"/>
    </row>
    <row r="30" spans="1:15" s="12" customFormat="1" ht="15" customHeight="1">
      <c r="A30" s="5"/>
      <c r="E30" s="2"/>
      <c r="F30" s="2"/>
      <c r="H30" s="5"/>
      <c r="I30" s="2"/>
      <c r="J30" s="2"/>
      <c r="K30" s="2"/>
      <c r="L30" s="2"/>
      <c r="M30" s="2"/>
      <c r="N30" s="2"/>
      <c r="O30" s="11"/>
    </row>
    <row r="31" spans="1:15" s="12" customFormat="1" ht="20.25" customHeight="1">
      <c r="A31" s="5"/>
      <c r="H31" s="5"/>
      <c r="I31" s="2"/>
      <c r="J31" s="2"/>
      <c r="K31" s="2"/>
      <c r="L31" s="2"/>
      <c r="M31" s="23" t="s">
        <v>42</v>
      </c>
      <c r="N31" s="107">
        <f>SUM(N14,N23,N29)</f>
        <v>0</v>
      </c>
      <c r="O31" s="11"/>
    </row>
    <row r="32" spans="1:14" ht="15.75" thickBot="1">
      <c r="A32" s="1"/>
      <c r="B32" s="2"/>
      <c r="C32" s="2"/>
      <c r="D32" s="2"/>
      <c r="E32" s="2"/>
      <c r="F32" s="2"/>
      <c r="H32" s="1"/>
      <c r="M32" s="23" t="s">
        <v>43</v>
      </c>
      <c r="N32" s="107">
        <f>IF(G34=0,"",G34)</f>
      </c>
    </row>
    <row r="33" spans="1:14" ht="19.5" customHeight="1" thickBot="1">
      <c r="A33" s="1"/>
      <c r="B33" s="108" t="s">
        <v>44</v>
      </c>
      <c r="C33" s="109"/>
      <c r="D33" s="109"/>
      <c r="E33" s="109"/>
      <c r="F33" s="109"/>
      <c r="G33" s="110"/>
      <c r="H33" s="1"/>
      <c r="M33" s="111" t="s">
        <v>54</v>
      </c>
      <c r="N33" s="112">
        <f>IF(G34=0,"",SUM(N31:N32))</f>
      </c>
    </row>
    <row r="34" spans="1:14" ht="19.5" customHeight="1">
      <c r="A34" s="1"/>
      <c r="B34" s="183" t="s">
        <v>45</v>
      </c>
      <c r="C34" s="183"/>
      <c r="D34" s="183"/>
      <c r="E34" s="183"/>
      <c r="F34" s="183"/>
      <c r="G34" s="113">
        <v>0</v>
      </c>
      <c r="H34" s="1"/>
      <c r="M34" s="111"/>
      <c r="N34" s="114" t="s">
        <v>55</v>
      </c>
    </row>
    <row r="35" spans="1:14" ht="19.5" customHeight="1">
      <c r="A35" s="1"/>
      <c r="B35" s="1"/>
      <c r="C35" s="1"/>
      <c r="D35" s="1"/>
      <c r="E35" s="1"/>
      <c r="F35" s="1"/>
      <c r="G35" s="1"/>
      <c r="H35" s="1"/>
      <c r="I35" s="115" t="s">
        <v>46</v>
      </c>
      <c r="J35" s="29"/>
      <c r="K35" s="29"/>
      <c r="L35" s="29"/>
      <c r="M35" s="29"/>
      <c r="N35" s="29"/>
    </row>
    <row r="36" spans="1:17" ht="12.75">
      <c r="A36" s="2"/>
      <c r="B36" s="2"/>
      <c r="C36" s="2"/>
      <c r="D36" s="2"/>
      <c r="E36" s="2"/>
      <c r="F36" s="2"/>
      <c r="H36" s="2"/>
      <c r="P36" s="116"/>
      <c r="Q36" s="116"/>
    </row>
    <row r="37" ht="28.5" customHeight="1">
      <c r="H37" s="2"/>
    </row>
    <row r="38" ht="12.75">
      <c r="H38" s="2"/>
    </row>
    <row r="57" spans="2:7" ht="12.75">
      <c r="B57" s="11"/>
      <c r="C57" s="11"/>
      <c r="G57" s="12"/>
    </row>
  </sheetData>
  <sheetProtection/>
  <mergeCells count="14">
    <mergeCell ref="I17:N17"/>
    <mergeCell ref="I18:N18"/>
    <mergeCell ref="I26:L26"/>
    <mergeCell ref="M26:N26"/>
    <mergeCell ref="B34:F34"/>
    <mergeCell ref="C8:D8"/>
    <mergeCell ref="E8:G8"/>
    <mergeCell ref="I11:N11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6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Burkina Faso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208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40095</v>
      </c>
      <c r="J13" s="119">
        <v>40159</v>
      </c>
      <c r="K13" s="44">
        <f>+J13-I13+1</f>
        <v>65</v>
      </c>
      <c r="L13" s="129">
        <v>3.41</v>
      </c>
      <c r="M13" s="130">
        <f>ROUND(K13*L13,2)</f>
        <v>221.65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40003</v>
      </c>
      <c r="J14" s="119">
        <v>40066</v>
      </c>
      <c r="K14" s="44">
        <f>+J14-I14+1</f>
        <v>64</v>
      </c>
      <c r="L14" s="129">
        <v>3.41</v>
      </c>
      <c r="M14" s="130">
        <f>ROUND(K14*L14,2)</f>
        <v>218.24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$"&amp;ROUND(SUM(B21:B28),2)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 aca="true" t="shared" si="0" ref="B21:B28"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aca="true" t="shared" si="1" ref="G21:G28">C21+D21/29+E21/30+F21/31</f>
        <v>0</v>
      </c>
      <c r="H21" s="1"/>
      <c r="I21" s="124" t="s">
        <v>50</v>
      </c>
      <c r="J21" s="121" t="s">
        <v>82</v>
      </c>
      <c r="K21" s="135">
        <f>144000/440</f>
        <v>327.27272727272725</v>
      </c>
      <c r="L21" s="122">
        <v>0.35</v>
      </c>
      <c r="M21" s="126">
        <f aca="true" t="shared" si="2" ref="M21:M28">ROUND(K21*L21,2)</f>
        <v>114.55</v>
      </c>
      <c r="N21" s="75" t="str">
        <f aca="true" t="shared" si="3" ref="N21:N28">IF($G21=0,"----",M21*$G21)</f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24" t="s">
        <v>83</v>
      </c>
      <c r="J22" s="121" t="s">
        <v>82</v>
      </c>
      <c r="K22" s="135">
        <f>120000/440</f>
        <v>272.72727272727275</v>
      </c>
      <c r="L22" s="122">
        <v>0.35</v>
      </c>
      <c r="M22" s="126">
        <f t="shared" si="2"/>
        <v>95.45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24" t="s">
        <v>160</v>
      </c>
      <c r="J23" s="121" t="s">
        <v>82</v>
      </c>
      <c r="K23" s="135">
        <f>120000/440</f>
        <v>272.72727272727275</v>
      </c>
      <c r="L23" s="122">
        <v>0.35</v>
      </c>
      <c r="M23" s="126">
        <f t="shared" si="2"/>
        <v>95.45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24" t="s">
        <v>62</v>
      </c>
      <c r="J24" s="121" t="s">
        <v>82</v>
      </c>
      <c r="K24" s="135">
        <f>120000/440</f>
        <v>272.72727272727275</v>
      </c>
      <c r="L24" s="122">
        <v>0.35</v>
      </c>
      <c r="M24" s="126">
        <f t="shared" si="2"/>
        <v>95.45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24" t="s">
        <v>50</v>
      </c>
      <c r="J25" s="121" t="s">
        <v>129</v>
      </c>
      <c r="K25" s="135">
        <f>144000/440</f>
        <v>327.27272727272725</v>
      </c>
      <c r="L25" s="122">
        <v>0.35</v>
      </c>
      <c r="M25" s="126">
        <f t="shared" si="2"/>
        <v>114.55</v>
      </c>
      <c r="N25" s="75" t="str">
        <f t="shared" si="3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24" t="s">
        <v>83</v>
      </c>
      <c r="J26" s="121" t="s">
        <v>129</v>
      </c>
      <c r="K26" s="135">
        <f>120000/440</f>
        <v>272.72727272727275</v>
      </c>
      <c r="L26" s="122">
        <v>0.35</v>
      </c>
      <c r="M26" s="126">
        <f t="shared" si="2"/>
        <v>95.45</v>
      </c>
      <c r="N26" s="75" t="str">
        <f t="shared" si="3"/>
        <v>----</v>
      </c>
    </row>
    <row r="27" spans="1:14" ht="15" customHeigh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24" t="s">
        <v>160</v>
      </c>
      <c r="J27" s="121" t="s">
        <v>129</v>
      </c>
      <c r="K27" s="135">
        <f>120000/440</f>
        <v>272.72727272727275</v>
      </c>
      <c r="L27" s="122">
        <v>0.35</v>
      </c>
      <c r="M27" s="126">
        <f t="shared" si="2"/>
        <v>95.45</v>
      </c>
      <c r="N27" s="75" t="str">
        <f t="shared" si="3"/>
        <v>----</v>
      </c>
    </row>
    <row r="28" spans="1:14" ht="15" customHeight="1" thickBot="1">
      <c r="A28" s="1"/>
      <c r="B28" s="72" t="str">
        <f t="shared" si="0"/>
        <v>----</v>
      </c>
      <c r="C28" s="73">
        <v>0</v>
      </c>
      <c r="D28" s="73">
        <v>0</v>
      </c>
      <c r="E28" s="73">
        <v>0</v>
      </c>
      <c r="F28" s="73">
        <v>0</v>
      </c>
      <c r="G28" s="74">
        <f t="shared" si="1"/>
        <v>0</v>
      </c>
      <c r="H28" s="1"/>
      <c r="I28" s="124" t="s">
        <v>62</v>
      </c>
      <c r="J28" s="121" t="s">
        <v>129</v>
      </c>
      <c r="K28" s="135">
        <f>120000/440</f>
        <v>272.72727272727275</v>
      </c>
      <c r="L28" s="122">
        <v>0.35</v>
      </c>
      <c r="M28" s="126">
        <f t="shared" si="2"/>
        <v>95.45</v>
      </c>
      <c r="N28" s="75" t="str">
        <f t="shared" si="3"/>
        <v>----</v>
      </c>
    </row>
    <row r="29" spans="1:16" ht="20.25" customHeight="1" thickBot="1">
      <c r="A29" s="1"/>
      <c r="B29" s="78">
        <f>SUM(B21:B28)</f>
        <v>0</v>
      </c>
      <c r="C29" s="79"/>
      <c r="D29" s="79"/>
      <c r="E29" s="79"/>
      <c r="F29" s="79"/>
      <c r="G29" s="79"/>
      <c r="H29" s="1"/>
      <c r="I29" s="80"/>
      <c r="J29" s="52"/>
      <c r="K29" s="81"/>
      <c r="L29" s="82"/>
      <c r="M29" s="54" t="s">
        <v>29</v>
      </c>
      <c r="N29" s="83" t="str">
        <f>IF(SUM(N21:N28)=0,"----",SUM((N21:N28)))</f>
        <v>----</v>
      </c>
      <c r="P29" s="84"/>
    </row>
    <row r="30" spans="1:14" ht="15" customHeight="1" thickBot="1">
      <c r="A30" s="1"/>
      <c r="B30" s="79"/>
      <c r="C30" s="79"/>
      <c r="D30" s="79"/>
      <c r="E30" s="79"/>
      <c r="F30" s="79"/>
      <c r="H30" s="1"/>
      <c r="I30" s="85"/>
      <c r="J30" s="21"/>
      <c r="K30" s="86"/>
      <c r="L30" s="87"/>
      <c r="M30" s="23"/>
      <c r="N30" s="23"/>
    </row>
    <row r="31" spans="1:17" ht="25.5" customHeight="1">
      <c r="A31" s="1"/>
      <c r="B31" s="71"/>
      <c r="C31" s="2"/>
      <c r="D31" s="2"/>
      <c r="E31" s="2"/>
      <c r="F31" s="71"/>
      <c r="H31" s="1"/>
      <c r="I31" s="24" t="s">
        <v>30</v>
      </c>
      <c r="J31" s="25"/>
      <c r="K31" s="88"/>
      <c r="L31" s="89"/>
      <c r="M31" s="90" t="s">
        <v>31</v>
      </c>
      <c r="N31" s="26"/>
      <c r="P31" s="91"/>
      <c r="Q31" s="3"/>
    </row>
    <row r="32" spans="1:17" ht="28.5" customHeight="1">
      <c r="A32" s="1"/>
      <c r="B32" s="92" t="s">
        <v>32</v>
      </c>
      <c r="C32" s="93"/>
      <c r="D32" s="93"/>
      <c r="E32" s="94"/>
      <c r="F32" s="71"/>
      <c r="G32" s="95" t="s">
        <v>33</v>
      </c>
      <c r="H32" s="1"/>
      <c r="I32" s="175" t="s">
        <v>34</v>
      </c>
      <c r="J32" s="186"/>
      <c r="K32" s="186"/>
      <c r="L32" s="186"/>
      <c r="M32" s="184" t="s">
        <v>35</v>
      </c>
      <c r="N32" s="185"/>
      <c r="P32" s="3"/>
      <c r="Q32" s="3"/>
    </row>
    <row r="33" spans="1:17" ht="45" customHeight="1">
      <c r="A33" s="1"/>
      <c r="B33" s="67" t="s">
        <v>18</v>
      </c>
      <c r="C33" s="67" t="s">
        <v>36</v>
      </c>
      <c r="D33" s="67" t="s">
        <v>37</v>
      </c>
      <c r="E33" s="67" t="s">
        <v>38</v>
      </c>
      <c r="G33" s="67" t="s">
        <v>39</v>
      </c>
      <c r="H33" s="1"/>
      <c r="I33" s="96" t="s">
        <v>27</v>
      </c>
      <c r="J33" s="97" t="s">
        <v>56</v>
      </c>
      <c r="K33" s="3"/>
      <c r="L33" s="3"/>
      <c r="M33" s="36" t="s">
        <v>40</v>
      </c>
      <c r="N33" s="37" t="s">
        <v>56</v>
      </c>
      <c r="Q33" s="3"/>
    </row>
    <row r="34" spans="1:17" ht="15" customHeight="1" thickBot="1">
      <c r="A34" s="1"/>
      <c r="B34" s="98">
        <f>SUM(C21:C28)</f>
        <v>0</v>
      </c>
      <c r="C34" s="98">
        <f>COUNTIF(D21:F28,"&gt;=16")</f>
        <v>0</v>
      </c>
      <c r="D34" s="98">
        <f>(COUNTIF(D21:F28,"&gt;0")-C34)/2</f>
        <v>0</v>
      </c>
      <c r="E34" s="98">
        <f>SUM(B34:D34)</f>
        <v>0</v>
      </c>
      <c r="G34" s="99">
        <v>0</v>
      </c>
      <c r="H34" s="1"/>
      <c r="I34" s="100">
        <v>24</v>
      </c>
      <c r="J34" s="101" t="str">
        <f>IF(E34*I34=0,"----",E34*I34)</f>
        <v>----</v>
      </c>
      <c r="K34" s="3"/>
      <c r="L34" s="3"/>
      <c r="M34" s="102">
        <v>12</v>
      </c>
      <c r="N34" s="76" t="str">
        <f>IF($G34=0,"----",M34*$G34)</f>
        <v>----</v>
      </c>
      <c r="Q34" s="3"/>
    </row>
    <row r="35" spans="1:17" ht="15" customHeight="1" thickBot="1">
      <c r="A35" s="1"/>
      <c r="B35" s="12"/>
      <c r="C35" s="12"/>
      <c r="D35" s="12"/>
      <c r="E35" s="103"/>
      <c r="F35" s="12"/>
      <c r="G35" s="12"/>
      <c r="H35" s="1"/>
      <c r="I35" s="104"/>
      <c r="J35" s="105"/>
      <c r="K35" s="105"/>
      <c r="L35" s="106"/>
      <c r="M35" s="54" t="s">
        <v>41</v>
      </c>
      <c r="N35" s="83" t="str">
        <f>IF(SUM(J34,N34)=0,"----",SUM((J34,N34)))</f>
        <v>----</v>
      </c>
      <c r="Q35" s="3"/>
    </row>
    <row r="36" spans="1:15" s="12" customFormat="1" ht="15" customHeight="1">
      <c r="A36" s="5"/>
      <c r="E36" s="2"/>
      <c r="F36" s="2"/>
      <c r="H36" s="5"/>
      <c r="I36" s="2"/>
      <c r="J36" s="2"/>
      <c r="K36" s="2"/>
      <c r="L36" s="2"/>
      <c r="M36" s="2"/>
      <c r="N36" s="2"/>
      <c r="O36" s="11"/>
    </row>
    <row r="37" spans="1:15" s="12" customFormat="1" ht="20.25" customHeight="1">
      <c r="A37" s="5"/>
      <c r="H37" s="5"/>
      <c r="I37" s="2"/>
      <c r="J37" s="2"/>
      <c r="K37" s="2"/>
      <c r="L37" s="2"/>
      <c r="M37" s="23" t="s">
        <v>42</v>
      </c>
      <c r="N37" s="107">
        <f>SUM(N15,N29,N35)</f>
        <v>0</v>
      </c>
      <c r="O37" s="11"/>
    </row>
    <row r="38" spans="1:14" ht="15.75" thickBot="1">
      <c r="A38" s="1"/>
      <c r="B38" s="2"/>
      <c r="C38" s="2"/>
      <c r="D38" s="2"/>
      <c r="E38" s="2"/>
      <c r="F38" s="2"/>
      <c r="H38" s="1"/>
      <c r="M38" s="23" t="s">
        <v>43</v>
      </c>
      <c r="N38" s="107">
        <f>IF(G40=0,"",G40)</f>
      </c>
    </row>
    <row r="39" spans="1:14" ht="19.5" customHeight="1" thickBot="1">
      <c r="A39" s="1"/>
      <c r="B39" s="108" t="s">
        <v>44</v>
      </c>
      <c r="C39" s="109"/>
      <c r="D39" s="109"/>
      <c r="E39" s="109"/>
      <c r="F39" s="109"/>
      <c r="G39" s="110"/>
      <c r="H39" s="1"/>
      <c r="M39" s="111" t="s">
        <v>54</v>
      </c>
      <c r="N39" s="112">
        <f>IF(G40=0,"",SUM(N37:N38))</f>
      </c>
    </row>
    <row r="40" spans="1:14" ht="19.5" customHeight="1">
      <c r="A40" s="1"/>
      <c r="B40" s="183" t="s">
        <v>45</v>
      </c>
      <c r="C40" s="183"/>
      <c r="D40" s="183"/>
      <c r="E40" s="183"/>
      <c r="F40" s="183"/>
      <c r="G40" s="113">
        <v>0</v>
      </c>
      <c r="H40" s="1"/>
      <c r="M40" s="111"/>
      <c r="N40" s="114" t="s">
        <v>55</v>
      </c>
    </row>
    <row r="41" spans="1:14" ht="19.5" customHeight="1">
      <c r="A41" s="1"/>
      <c r="B41" s="1"/>
      <c r="C41" s="1"/>
      <c r="D41" s="1"/>
      <c r="E41" s="1"/>
      <c r="F41" s="1"/>
      <c r="G41" s="1"/>
      <c r="H41" s="1"/>
      <c r="I41" s="115" t="s">
        <v>46</v>
      </c>
      <c r="J41" s="29"/>
      <c r="K41" s="29"/>
      <c r="L41" s="29"/>
      <c r="M41" s="29"/>
      <c r="N41" s="29"/>
    </row>
    <row r="42" spans="1:17" ht="12.75">
      <c r="A42" s="2"/>
      <c r="B42" s="2"/>
      <c r="C42" s="2"/>
      <c r="D42" s="2"/>
      <c r="E42" s="2"/>
      <c r="F42" s="2"/>
      <c r="H42" s="2"/>
      <c r="P42" s="116"/>
      <c r="Q42" s="116"/>
    </row>
    <row r="43" ht="28.5" customHeight="1">
      <c r="H43" s="2"/>
    </row>
    <row r="44" ht="12.75">
      <c r="H44" s="2"/>
    </row>
    <row r="63" spans="2:7" ht="12.75">
      <c r="B63" s="11"/>
      <c r="C63" s="11"/>
      <c r="G63" s="12"/>
    </row>
  </sheetData>
  <sheetProtection/>
  <mergeCells count="14">
    <mergeCell ref="B40:F40"/>
    <mergeCell ref="I11:N11"/>
    <mergeCell ref="I18:N18"/>
    <mergeCell ref="I19:N19"/>
    <mergeCell ref="I32:L32"/>
    <mergeCell ref="M32:N32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ignoredErrors>
    <ignoredError sqref="K25" 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Cameroon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132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39970</v>
      </c>
      <c r="J13" s="119">
        <v>40044</v>
      </c>
      <c r="K13" s="44">
        <f>+J13-I13+1</f>
        <v>75</v>
      </c>
      <c r="L13" s="129">
        <v>2.39</v>
      </c>
      <c r="M13" s="130">
        <f>ROUND(K13*L13,2)</f>
        <v>179.25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40075</v>
      </c>
      <c r="J14" s="119">
        <v>40150</v>
      </c>
      <c r="K14" s="44">
        <f>+J14-I14+1</f>
        <v>76</v>
      </c>
      <c r="L14" s="129">
        <v>2.39</v>
      </c>
      <c r="M14" s="130">
        <f>ROUND(K14*L14,2)</f>
        <v>181.64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$"&amp;ROUND(SUM(B21:B21),2)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28</v>
      </c>
      <c r="K21" s="125">
        <v>319</v>
      </c>
      <c r="L21" s="122">
        <v>0.31</v>
      </c>
      <c r="M21" s="126">
        <f>ROUND(K21*L21,2)</f>
        <v>98.89</v>
      </c>
      <c r="N21" s="75" t="str">
        <f>IF($G21=0,"----",M21*$G21)</f>
        <v>----</v>
      </c>
    </row>
    <row r="22" spans="1:16" ht="20.25" customHeight="1" thickBot="1">
      <c r="A22" s="1"/>
      <c r="B22" s="78">
        <f>SUM(B21:B21)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IF(SUM(N21:N21)=0,"----",SUM((N21:N21)))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SUM(C21:C21)</f>
        <v>0</v>
      </c>
      <c r="C27" s="98">
        <f>COUNTIF(D21:F21,"&gt;=16")</f>
        <v>0</v>
      </c>
      <c r="D27" s="98">
        <f>(COUNTIF(D21:F21,"&gt;0")-C27)/2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SUM(N15,N22,N28)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3:F33"/>
    <mergeCell ref="I11:N11"/>
    <mergeCell ref="I18:N18"/>
    <mergeCell ref="I19:N19"/>
    <mergeCell ref="I25:L25"/>
    <mergeCell ref="M25:N2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Cambodia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238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40019</v>
      </c>
      <c r="J13" s="119">
        <v>40081</v>
      </c>
      <c r="K13" s="44">
        <f>+J13-I13+1</f>
        <v>63</v>
      </c>
      <c r="L13" s="129">
        <v>4.61</v>
      </c>
      <c r="M13" s="130">
        <f>ROUND(K13*L13,2)</f>
        <v>290.43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28</v>
      </c>
      <c r="K20" s="125">
        <v>203</v>
      </c>
      <c r="L20" s="122">
        <v>0.3</v>
      </c>
      <c r="M20" s="126">
        <f>ROUND(K20*L20,2)</f>
        <v>60.9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32:F32"/>
    <mergeCell ref="C8:D8"/>
    <mergeCell ref="E8:G8"/>
    <mergeCell ref="I11:N11"/>
    <mergeCell ref="I17:N17"/>
    <mergeCell ref="I18:N18"/>
    <mergeCell ref="I24:L24"/>
    <mergeCell ref="M24:N24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Cape Verde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206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40009</v>
      </c>
      <c r="J13" s="119">
        <v>40075</v>
      </c>
      <c r="K13" s="44">
        <f>+J13-I13+1</f>
        <v>67</v>
      </c>
      <c r="L13" s="129">
        <v>4.49</v>
      </c>
      <c r="M13" s="130">
        <f>ROUND(K13*L13,2)</f>
        <v>300.83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28</v>
      </c>
      <c r="K20" s="125">
        <v>489.58</v>
      </c>
      <c r="L20" s="122">
        <v>0.14</v>
      </c>
      <c r="M20" s="126">
        <f>ROUND(K20*L20,2)</f>
        <v>68.54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32:F32"/>
    <mergeCell ref="I11:N11"/>
    <mergeCell ref="I17:N17"/>
    <mergeCell ref="I18:N18"/>
    <mergeCell ref="I24:L24"/>
    <mergeCell ref="M24:N24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China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65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39995</v>
      </c>
      <c r="J13" s="119">
        <v>40052</v>
      </c>
      <c r="K13" s="44">
        <f>+J13-I13+1</f>
        <v>58</v>
      </c>
      <c r="L13" s="120">
        <v>4.53</v>
      </c>
      <c r="M13" s="45">
        <f>ROUND(K13*L13,2)</f>
        <v>262.74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28</v>
      </c>
      <c r="K20" s="125">
        <v>206.14</v>
      </c>
      <c r="L20" s="122">
        <v>0.27</v>
      </c>
      <c r="M20" s="126">
        <f>ROUND(K20*L20,2)</f>
        <v>55.66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32:F32"/>
    <mergeCell ref="I11:N11"/>
    <mergeCell ref="I17:N17"/>
    <mergeCell ref="I18:N18"/>
    <mergeCell ref="I24:L24"/>
    <mergeCell ref="M24:N24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Q5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Costa Rica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212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39883</v>
      </c>
      <c r="J13" s="119">
        <v>39962</v>
      </c>
      <c r="K13" s="44">
        <f>+J13-I13+1</f>
        <v>80</v>
      </c>
      <c r="L13" s="129">
        <v>3.6</v>
      </c>
      <c r="M13" s="130">
        <f>ROUND(K13*L13,2)</f>
        <v>288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$"&amp;ROUND(SUM(B20:B23),2)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50</v>
      </c>
      <c r="J20" s="121" t="s">
        <v>51</v>
      </c>
      <c r="K20" s="125">
        <v>368.73</v>
      </c>
      <c r="L20" s="122">
        <v>0.23</v>
      </c>
      <c r="M20" s="126">
        <f>ROUND(K20*L20,2)</f>
        <v>84.81</v>
      </c>
      <c r="N20" s="75" t="str">
        <f>IF($G20=0,"----",M20*$G20)</f>
        <v>----</v>
      </c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83</v>
      </c>
      <c r="J21" s="121" t="s">
        <v>52</v>
      </c>
      <c r="K21" s="125">
        <v>311.34</v>
      </c>
      <c r="L21" s="122">
        <v>0.23</v>
      </c>
      <c r="M21" s="126">
        <f>ROUND(K21*L21,2)</f>
        <v>71.61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50</v>
      </c>
      <c r="J22" s="121" t="s">
        <v>51</v>
      </c>
      <c r="K22" s="125">
        <v>379.81</v>
      </c>
      <c r="L22" s="122">
        <v>0.23</v>
      </c>
      <c r="M22" s="126">
        <f>ROUND(K22*L22,2)</f>
        <v>87.36</v>
      </c>
      <c r="N22" s="75" t="str">
        <f>IF($G22=0,"----",M22*$G22)</f>
        <v>----</v>
      </c>
    </row>
    <row r="23" spans="1:14" ht="15" customHeight="1" thickBo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83</v>
      </c>
      <c r="J23" s="121" t="s">
        <v>52</v>
      </c>
      <c r="K23" s="125">
        <v>320.71</v>
      </c>
      <c r="L23" s="122">
        <v>0.23</v>
      </c>
      <c r="M23" s="126">
        <f>ROUND(K23*L23,2)</f>
        <v>73.76</v>
      </c>
      <c r="N23" s="75" t="str">
        <f>IF($G23=0,"----",M23*$G23)</f>
        <v>----</v>
      </c>
    </row>
    <row r="24" spans="1:16" ht="20.25" customHeight="1" thickBot="1">
      <c r="A24" s="1"/>
      <c r="B24" s="78">
        <f>SUM(B20:B23)</f>
        <v>0</v>
      </c>
      <c r="C24" s="79"/>
      <c r="D24" s="79"/>
      <c r="E24" s="79"/>
      <c r="F24" s="79"/>
      <c r="G24" s="79"/>
      <c r="H24" s="1"/>
      <c r="I24" s="80"/>
      <c r="J24" s="52"/>
      <c r="K24" s="81"/>
      <c r="L24" s="82"/>
      <c r="M24" s="54" t="s">
        <v>29</v>
      </c>
      <c r="N24" s="83" t="str">
        <f>IF(SUM(N20:N23)=0,"----",SUM((N20:N23)))</f>
        <v>----</v>
      </c>
      <c r="P24" s="84"/>
    </row>
    <row r="25" spans="1:14" ht="15" customHeight="1" thickBot="1">
      <c r="A25" s="1"/>
      <c r="B25" s="79"/>
      <c r="C25" s="79"/>
      <c r="D25" s="79"/>
      <c r="E25" s="79"/>
      <c r="F25" s="79"/>
      <c r="H25" s="1"/>
      <c r="I25" s="85"/>
      <c r="J25" s="21"/>
      <c r="K25" s="86"/>
      <c r="L25" s="87"/>
      <c r="M25" s="23"/>
      <c r="N25" s="23"/>
    </row>
    <row r="26" spans="1:17" ht="25.5" customHeight="1">
      <c r="A26" s="1"/>
      <c r="B26" s="71"/>
      <c r="C26" s="2"/>
      <c r="D26" s="2"/>
      <c r="E26" s="2"/>
      <c r="F26" s="71"/>
      <c r="H26" s="1"/>
      <c r="I26" s="24" t="s">
        <v>30</v>
      </c>
      <c r="J26" s="25"/>
      <c r="K26" s="88"/>
      <c r="L26" s="89"/>
      <c r="M26" s="90" t="s">
        <v>31</v>
      </c>
      <c r="N26" s="26"/>
      <c r="P26" s="91"/>
      <c r="Q26" s="3"/>
    </row>
    <row r="27" spans="1:17" ht="28.5" customHeight="1">
      <c r="A27" s="1"/>
      <c r="B27" s="92" t="s">
        <v>32</v>
      </c>
      <c r="C27" s="93"/>
      <c r="D27" s="93"/>
      <c r="E27" s="94"/>
      <c r="F27" s="71"/>
      <c r="G27" s="95" t="s">
        <v>33</v>
      </c>
      <c r="H27" s="1"/>
      <c r="I27" s="175" t="s">
        <v>34</v>
      </c>
      <c r="J27" s="186"/>
      <c r="K27" s="186"/>
      <c r="L27" s="186"/>
      <c r="M27" s="184" t="s">
        <v>35</v>
      </c>
      <c r="N27" s="185"/>
      <c r="P27" s="3"/>
      <c r="Q27" s="3"/>
    </row>
    <row r="28" spans="1:17" ht="45" customHeight="1">
      <c r="A28" s="1"/>
      <c r="B28" s="67" t="s">
        <v>18</v>
      </c>
      <c r="C28" s="67" t="s">
        <v>36</v>
      </c>
      <c r="D28" s="67" t="s">
        <v>37</v>
      </c>
      <c r="E28" s="67" t="s">
        <v>38</v>
      </c>
      <c r="G28" s="67" t="s">
        <v>39</v>
      </c>
      <c r="H28" s="1"/>
      <c r="I28" s="96" t="s">
        <v>27</v>
      </c>
      <c r="J28" s="97" t="s">
        <v>56</v>
      </c>
      <c r="K28" s="3"/>
      <c r="L28" s="3"/>
      <c r="M28" s="36" t="s">
        <v>40</v>
      </c>
      <c r="N28" s="37" t="s">
        <v>56</v>
      </c>
      <c r="Q28" s="3"/>
    </row>
    <row r="29" spans="1:17" ht="15" customHeight="1" thickBot="1">
      <c r="A29" s="1"/>
      <c r="B29" s="98">
        <f>SUM(C20:C23)</f>
        <v>0</v>
      </c>
      <c r="C29" s="98">
        <f>COUNTIF(D20:F23,"&gt;=16")</f>
        <v>0</v>
      </c>
      <c r="D29" s="98">
        <f>(COUNTIF(D20:F23,"&gt;0")-C29)/2</f>
        <v>0</v>
      </c>
      <c r="E29" s="98">
        <f>SUM(B29:D29)</f>
        <v>0</v>
      </c>
      <c r="G29" s="99">
        <v>0</v>
      </c>
      <c r="H29" s="1"/>
      <c r="I29" s="100">
        <v>24</v>
      </c>
      <c r="J29" s="101" t="str">
        <f>IF(E29*I29=0,"----",E29*I29)</f>
        <v>----</v>
      </c>
      <c r="K29" s="3"/>
      <c r="L29" s="3"/>
      <c r="M29" s="102">
        <v>12</v>
      </c>
      <c r="N29" s="76" t="str">
        <f>IF($G29=0,"----",M29*$G29)</f>
        <v>----</v>
      </c>
      <c r="Q29" s="3"/>
    </row>
    <row r="30" spans="1:17" ht="15" customHeight="1" thickBot="1">
      <c r="A30" s="1"/>
      <c r="B30" s="12"/>
      <c r="C30" s="12"/>
      <c r="D30" s="12"/>
      <c r="E30" s="103"/>
      <c r="F30" s="12"/>
      <c r="G30" s="12"/>
      <c r="H30" s="1"/>
      <c r="I30" s="104"/>
      <c r="J30" s="105"/>
      <c r="K30" s="105"/>
      <c r="L30" s="106"/>
      <c r="M30" s="54" t="s">
        <v>41</v>
      </c>
      <c r="N30" s="83" t="str">
        <f>IF(SUM(J29,N29)=0,"----",SUM((J29,N29)))</f>
        <v>----</v>
      </c>
      <c r="Q30" s="3"/>
    </row>
    <row r="31" spans="1:15" s="12" customFormat="1" ht="15" customHeight="1">
      <c r="A31" s="5"/>
      <c r="E31" s="2"/>
      <c r="F31" s="2"/>
      <c r="H31" s="5"/>
      <c r="I31" s="2"/>
      <c r="J31" s="2"/>
      <c r="K31" s="2"/>
      <c r="L31" s="2"/>
      <c r="M31" s="2"/>
      <c r="N31" s="2"/>
      <c r="O31" s="11"/>
    </row>
    <row r="32" spans="1:15" s="12" customFormat="1" ht="20.25" customHeight="1">
      <c r="A32" s="5"/>
      <c r="H32" s="5"/>
      <c r="I32" s="2"/>
      <c r="J32" s="2"/>
      <c r="K32" s="2"/>
      <c r="L32" s="2"/>
      <c r="M32" s="23" t="s">
        <v>42</v>
      </c>
      <c r="N32" s="107">
        <f>SUM(N14,N24,N30)</f>
        <v>0</v>
      </c>
      <c r="O32" s="11"/>
    </row>
    <row r="33" spans="1:14" ht="15.75" thickBot="1">
      <c r="A33" s="1"/>
      <c r="B33" s="2"/>
      <c r="C33" s="2"/>
      <c r="D33" s="2"/>
      <c r="E33" s="2"/>
      <c r="F33" s="2"/>
      <c r="H33" s="1"/>
      <c r="M33" s="23" t="s">
        <v>43</v>
      </c>
      <c r="N33" s="107">
        <f>IF(G35=0,"",G35)</f>
      </c>
    </row>
    <row r="34" spans="1:14" ht="19.5" customHeight="1" thickBot="1">
      <c r="A34" s="1"/>
      <c r="B34" s="108" t="s">
        <v>44</v>
      </c>
      <c r="C34" s="109"/>
      <c r="D34" s="109"/>
      <c r="E34" s="109"/>
      <c r="F34" s="109"/>
      <c r="G34" s="110"/>
      <c r="H34" s="1"/>
      <c r="M34" s="111" t="s">
        <v>54</v>
      </c>
      <c r="N34" s="112">
        <f>IF(G35=0,"",SUM(N32:N33))</f>
      </c>
    </row>
    <row r="35" spans="1:14" ht="19.5" customHeight="1">
      <c r="A35" s="1"/>
      <c r="B35" s="183" t="s">
        <v>45</v>
      </c>
      <c r="C35" s="183"/>
      <c r="D35" s="183"/>
      <c r="E35" s="183"/>
      <c r="F35" s="183"/>
      <c r="G35" s="113">
        <v>0</v>
      </c>
      <c r="H35" s="1"/>
      <c r="M35" s="111"/>
      <c r="N35" s="114" t="s">
        <v>55</v>
      </c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15" t="s">
        <v>46</v>
      </c>
      <c r="J36" s="29"/>
      <c r="K36" s="29"/>
      <c r="L36" s="29"/>
      <c r="M36" s="29"/>
      <c r="N36" s="29"/>
    </row>
    <row r="37" spans="1:17" ht="12.75">
      <c r="A37" s="2"/>
      <c r="B37" s="2"/>
      <c r="C37" s="2"/>
      <c r="D37" s="2"/>
      <c r="E37" s="2"/>
      <c r="F37" s="2"/>
      <c r="H37" s="2"/>
      <c r="P37" s="116"/>
      <c r="Q37" s="116"/>
    </row>
    <row r="38" ht="28.5" customHeight="1">
      <c r="H38" s="2"/>
    </row>
    <row r="39" ht="12.75">
      <c r="H39" s="2"/>
    </row>
    <row r="58" spans="2:7" ht="12.75">
      <c r="B58" s="11"/>
      <c r="C58" s="11"/>
      <c r="G58" s="12"/>
    </row>
  </sheetData>
  <sheetProtection/>
  <mergeCells count="14">
    <mergeCell ref="B35:F35"/>
    <mergeCell ref="I11:N11"/>
    <mergeCell ref="I17:N17"/>
    <mergeCell ref="I18:N18"/>
    <mergeCell ref="I27:L27"/>
    <mergeCell ref="M27:N27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7.140625" style="0" customWidth="1"/>
    <col min="3" max="3" width="31.28125" style="0" customWidth="1"/>
    <col min="4" max="4" width="10.421875" style="0" customWidth="1"/>
    <col min="5" max="5" width="6.140625" style="0" customWidth="1"/>
    <col min="6" max="6" width="24.57421875" style="0" customWidth="1"/>
    <col min="7" max="7" width="9.7109375" style="0" customWidth="1"/>
  </cols>
  <sheetData>
    <row r="1" spans="2:7" ht="15.75">
      <c r="B1" s="227" t="s">
        <v>291</v>
      </c>
      <c r="C1" s="227"/>
      <c r="D1" s="227"/>
      <c r="E1" s="227"/>
      <c r="F1" s="227"/>
      <c r="G1" s="227"/>
    </row>
    <row r="2" spans="2:7" ht="49.5" customHeight="1">
      <c r="B2" s="228" t="s">
        <v>292</v>
      </c>
      <c r="C2" s="229"/>
      <c r="D2" s="229"/>
      <c r="E2" s="229"/>
      <c r="F2" s="229"/>
      <c r="G2" s="229"/>
    </row>
    <row r="3" spans="2:7" s="201" customFormat="1" ht="32.25" customHeight="1">
      <c r="B3" s="229" t="s">
        <v>293</v>
      </c>
      <c r="C3" s="228"/>
      <c r="D3" s="228"/>
      <c r="E3" s="228"/>
      <c r="F3" s="228"/>
      <c r="G3" s="230"/>
    </row>
    <row r="4" spans="2:7" s="233" customFormat="1" ht="54" customHeight="1">
      <c r="B4" s="231" t="s">
        <v>294</v>
      </c>
      <c r="C4" s="232"/>
      <c r="D4" s="232"/>
      <c r="E4" s="232"/>
      <c r="F4" s="232"/>
      <c r="G4" s="232"/>
    </row>
    <row r="5" spans="2:7" ht="21.75" customHeight="1">
      <c r="B5" s="234" t="s">
        <v>295</v>
      </c>
      <c r="C5" s="201"/>
      <c r="D5" s="201"/>
      <c r="E5" s="201"/>
      <c r="F5" s="234" t="s">
        <v>296</v>
      </c>
      <c r="G5" s="201"/>
    </row>
    <row r="6" spans="2:7" ht="21.75" customHeight="1">
      <c r="B6" s="235" t="s">
        <v>297</v>
      </c>
      <c r="C6" s="236" t="s">
        <v>298</v>
      </c>
      <c r="D6" s="237">
        <v>100</v>
      </c>
      <c r="E6" s="238"/>
      <c r="F6" s="238" t="s">
        <v>299</v>
      </c>
      <c r="G6" s="237"/>
    </row>
    <row r="7" spans="2:7" ht="21.75" customHeight="1">
      <c r="B7" s="235" t="s">
        <v>300</v>
      </c>
      <c r="C7" s="236" t="s">
        <v>301</v>
      </c>
      <c r="D7" s="237">
        <v>0</v>
      </c>
      <c r="E7" s="238"/>
      <c r="F7" s="238" t="s">
        <v>14</v>
      </c>
      <c r="G7" s="237">
        <v>55</v>
      </c>
    </row>
    <row r="8" spans="2:7" ht="21.75" customHeight="1">
      <c r="B8" s="235" t="s">
        <v>302</v>
      </c>
      <c r="C8" s="236" t="s">
        <v>303</v>
      </c>
      <c r="D8" s="237">
        <f>IF(D6=0,"",D6)</f>
        <v>100</v>
      </c>
      <c r="E8" s="238"/>
      <c r="F8" s="238" t="s">
        <v>304</v>
      </c>
      <c r="G8" s="237"/>
    </row>
    <row r="9" spans="2:7" ht="21.75" customHeight="1">
      <c r="B9" s="235" t="s">
        <v>305</v>
      </c>
      <c r="C9" s="236" t="s">
        <v>306</v>
      </c>
      <c r="D9" s="237">
        <v>7</v>
      </c>
      <c r="E9" s="238"/>
      <c r="F9" s="238" t="s">
        <v>307</v>
      </c>
      <c r="G9" s="239">
        <f>SUM(G6:G8)</f>
        <v>55</v>
      </c>
    </row>
    <row r="10" spans="2:5" ht="21.75" customHeight="1">
      <c r="B10" s="235" t="s">
        <v>308</v>
      </c>
      <c r="C10" s="236" t="s">
        <v>309</v>
      </c>
      <c r="D10" s="237">
        <f>IF(D6=0,"",D6)</f>
        <v>100</v>
      </c>
      <c r="E10" s="238"/>
    </row>
    <row r="11" spans="2:7" ht="21.75" customHeight="1">
      <c r="B11" s="235" t="s">
        <v>310</v>
      </c>
      <c r="C11" s="236" t="s">
        <v>311</v>
      </c>
      <c r="D11" s="237">
        <v>2</v>
      </c>
      <c r="E11" s="238"/>
      <c r="F11" s="238"/>
      <c r="G11" s="238"/>
    </row>
    <row r="12" spans="2:7" ht="21.75" customHeight="1">
      <c r="B12" s="240"/>
      <c r="C12" s="240"/>
      <c r="D12" s="201"/>
      <c r="E12" s="201"/>
      <c r="F12" s="201"/>
      <c r="G12" s="201"/>
    </row>
    <row r="13" spans="2:7" ht="21.75" customHeight="1">
      <c r="B13" s="241" t="s">
        <v>312</v>
      </c>
      <c r="C13" s="242"/>
      <c r="D13" s="243"/>
      <c r="E13" s="243"/>
      <c r="F13" s="243"/>
      <c r="G13" s="243"/>
    </row>
    <row r="14" spans="2:7" ht="21.75" customHeight="1">
      <c r="B14" s="244" t="s">
        <v>313</v>
      </c>
      <c r="C14" s="201" t="s">
        <v>314</v>
      </c>
      <c r="G14" s="245">
        <v>2009</v>
      </c>
    </row>
    <row r="15" spans="2:3" ht="21.75" customHeight="1">
      <c r="B15" s="244"/>
      <c r="C15" s="201" t="s">
        <v>315</v>
      </c>
    </row>
    <row r="16" spans="2:7" ht="21.75" customHeight="1">
      <c r="B16" s="244" t="s">
        <v>316</v>
      </c>
      <c r="C16" s="246" t="s">
        <v>317</v>
      </c>
      <c r="D16" s="246"/>
      <c r="E16" s="247" t="s">
        <v>318</v>
      </c>
      <c r="F16" s="240" t="s">
        <v>319</v>
      </c>
      <c r="G16" s="201"/>
    </row>
    <row r="17" spans="2:7" ht="38.25">
      <c r="B17" s="238"/>
      <c r="C17" s="248" t="s">
        <v>320</v>
      </c>
      <c r="D17" s="238"/>
      <c r="E17" s="201"/>
      <c r="F17" s="249" t="s">
        <v>321</v>
      </c>
      <c r="G17" s="201"/>
    </row>
    <row r="18" spans="2:7" ht="21.75" customHeight="1">
      <c r="B18" s="250" t="s">
        <v>322</v>
      </c>
      <c r="C18" s="240" t="s">
        <v>323</v>
      </c>
      <c r="D18" s="201"/>
      <c r="E18" s="201"/>
      <c r="F18" s="201"/>
      <c r="G18" s="201"/>
    </row>
    <row r="19" spans="2:7" ht="21.75" customHeight="1">
      <c r="B19" s="251" t="s">
        <v>324</v>
      </c>
      <c r="C19" s="201" t="s">
        <v>325</v>
      </c>
      <c r="D19" s="252">
        <f>IF(OR(D6=0,G9=0),"",D6+G9)</f>
        <v>155</v>
      </c>
      <c r="E19" s="251" t="s">
        <v>326</v>
      </c>
      <c r="F19" s="201" t="s">
        <v>327</v>
      </c>
      <c r="G19" s="252">
        <v>0</v>
      </c>
    </row>
    <row r="20" spans="2:7" ht="21.75" customHeight="1">
      <c r="B20" s="251" t="s">
        <v>328</v>
      </c>
      <c r="C20" s="201" t="s">
        <v>329</v>
      </c>
      <c r="D20" s="252">
        <f>IF(D8=0,"",D8)</f>
        <v>100</v>
      </c>
      <c r="E20" s="251"/>
      <c r="F20" s="201"/>
      <c r="G20" s="253"/>
    </row>
    <row r="21" spans="2:7" ht="21.75" customHeight="1">
      <c r="B21" s="251" t="s">
        <v>330</v>
      </c>
      <c r="C21" s="201" t="s">
        <v>331</v>
      </c>
      <c r="D21" s="252">
        <f>IF(D10=0,"",D10)</f>
        <v>100</v>
      </c>
      <c r="E21" s="251" t="s">
        <v>332</v>
      </c>
      <c r="F21" s="201" t="s">
        <v>333</v>
      </c>
      <c r="G21" s="252">
        <v>0</v>
      </c>
    </row>
    <row r="22" spans="2:7" ht="21.75" customHeight="1">
      <c r="B22" s="251" t="s">
        <v>334</v>
      </c>
      <c r="C22" s="201" t="s">
        <v>335</v>
      </c>
      <c r="D22" s="252">
        <v>0</v>
      </c>
      <c r="E22" s="251"/>
      <c r="F22" s="201"/>
      <c r="G22" s="253"/>
    </row>
    <row r="23" spans="2:7" ht="21.75" customHeight="1">
      <c r="B23" s="251" t="s">
        <v>336</v>
      </c>
      <c r="C23" s="201" t="s">
        <v>337</v>
      </c>
      <c r="D23" s="252">
        <v>0</v>
      </c>
      <c r="E23" s="251" t="s">
        <v>338</v>
      </c>
      <c r="F23" s="201" t="s">
        <v>339</v>
      </c>
      <c r="G23" s="252">
        <f>IF(D9=0,"",D9)</f>
        <v>7</v>
      </c>
    </row>
    <row r="24" spans="2:7" ht="21.75" customHeight="1">
      <c r="B24" s="251" t="s">
        <v>340</v>
      </c>
      <c r="C24" s="201" t="s">
        <v>341</v>
      </c>
      <c r="D24" s="252">
        <v>0</v>
      </c>
      <c r="E24" s="251" t="s">
        <v>342</v>
      </c>
      <c r="F24" s="201" t="s">
        <v>311</v>
      </c>
      <c r="G24" s="252">
        <f>IF(D11=0,"",D11)</f>
        <v>2</v>
      </c>
    </row>
    <row r="25" spans="2:7" ht="21.75" customHeight="1">
      <c r="B25" s="254" t="s">
        <v>343</v>
      </c>
      <c r="C25" s="240" t="s">
        <v>344</v>
      </c>
      <c r="D25" s="201"/>
      <c r="E25" s="201"/>
      <c r="F25" s="201"/>
      <c r="G25" s="201"/>
    </row>
    <row r="26" spans="2:7" ht="21.75" customHeight="1">
      <c r="B26" s="201"/>
      <c r="C26" s="255" t="s">
        <v>345</v>
      </c>
      <c r="D26" s="256"/>
      <c r="E26" s="256"/>
      <c r="F26" s="256"/>
      <c r="G26" s="257"/>
    </row>
    <row r="27" spans="2:7" ht="21.75" customHeight="1">
      <c r="B27" s="254" t="s">
        <v>346</v>
      </c>
      <c r="C27" s="240" t="s">
        <v>347</v>
      </c>
      <c r="D27" s="201"/>
      <c r="E27" s="201"/>
      <c r="F27" s="201"/>
      <c r="G27" s="201"/>
    </row>
    <row r="28" spans="2:7" ht="21.75" customHeight="1">
      <c r="B28" s="201"/>
      <c r="C28" s="255" t="s">
        <v>348</v>
      </c>
      <c r="D28" s="256"/>
      <c r="E28" s="256"/>
      <c r="F28" s="256"/>
      <c r="G28" s="257"/>
    </row>
  </sheetData>
  <sheetProtection/>
  <mergeCells count="5">
    <mergeCell ref="B1:G1"/>
    <mergeCell ref="B2:G2"/>
    <mergeCell ref="B3:F3"/>
    <mergeCell ref="B4:G4"/>
    <mergeCell ref="C16:D16"/>
  </mergeCells>
  <hyperlinks>
    <hyperlink ref="B4" r:id="rId1" display="http://turbotax.intuit.com/support/kb/tax-content/tax-tips/7395.html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6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Dominican Republic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239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39877</v>
      </c>
      <c r="J13" s="119">
        <v>39914</v>
      </c>
      <c r="K13" s="44">
        <f>+J13-I13+1</f>
        <v>38</v>
      </c>
      <c r="L13" s="129">
        <v>1.04</v>
      </c>
      <c r="M13" s="130">
        <f>ROUND(K13*L13,2)</f>
        <v>39.52</v>
      </c>
      <c r="N13" s="46" t="str">
        <f>IF($G13=0,"----",M13)</f>
        <v>----</v>
      </c>
      <c r="P13" s="3"/>
      <c r="Q13" s="3"/>
    </row>
    <row r="14" spans="1:17" ht="15" customHeigh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39915</v>
      </c>
      <c r="J14" s="119">
        <v>39946</v>
      </c>
      <c r="K14" s="44">
        <f>+J14-I14+1</f>
        <v>32</v>
      </c>
      <c r="L14" s="129">
        <v>1.34</v>
      </c>
      <c r="M14" s="130">
        <f>ROUND(K14*L14,2)</f>
        <v>42.88</v>
      </c>
      <c r="N14" s="46" t="str">
        <f>IF($G14=0,"----",M14)</f>
        <v>----</v>
      </c>
      <c r="P14" s="3"/>
      <c r="Q14" s="3"/>
    </row>
    <row r="15" spans="1:17" ht="15" customHeight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118">
        <v>40045</v>
      </c>
      <c r="J15" s="119">
        <v>40082</v>
      </c>
      <c r="K15" s="44">
        <f>+J15-I15+1</f>
        <v>38</v>
      </c>
      <c r="L15" s="129">
        <v>1.04</v>
      </c>
      <c r="M15" s="130">
        <f>ROUND(K15*L15,2)</f>
        <v>39.52</v>
      </c>
      <c r="N15" s="46" t="str">
        <f>IF($G15=0,"----",M15)</f>
        <v>----</v>
      </c>
      <c r="P15" s="3"/>
      <c r="Q15" s="3"/>
    </row>
    <row r="16" spans="1:17" ht="15" customHeight="1" thickBot="1">
      <c r="A16" s="1"/>
      <c r="B16" s="2"/>
      <c r="C16" s="2"/>
      <c r="D16" s="41"/>
      <c r="E16" s="41"/>
      <c r="F16" s="42" t="s">
        <v>47</v>
      </c>
      <c r="G16" s="43">
        <v>0</v>
      </c>
      <c r="H16" s="1"/>
      <c r="I16" s="118">
        <v>40083</v>
      </c>
      <c r="J16" s="119">
        <v>40114</v>
      </c>
      <c r="K16" s="44">
        <f>+J16-I16+1</f>
        <v>32</v>
      </c>
      <c r="L16" s="129">
        <v>1.34</v>
      </c>
      <c r="M16" s="130">
        <f>ROUND(K16*L16,2)</f>
        <v>42.88</v>
      </c>
      <c r="N16" s="46" t="str">
        <f>IF($G16=0,"----",M16)</f>
        <v>----</v>
      </c>
      <c r="P16" s="3"/>
      <c r="Q16" s="3"/>
    </row>
    <row r="17" spans="1:17" ht="20.25" customHeight="1" thickBot="1">
      <c r="A17" s="1"/>
      <c r="B17" s="2"/>
      <c r="C17" s="2"/>
      <c r="D17" s="2"/>
      <c r="E17" s="2"/>
      <c r="F17" s="2"/>
      <c r="H17" s="1"/>
      <c r="I17" s="50"/>
      <c r="J17" s="51"/>
      <c r="K17" s="52"/>
      <c r="L17" s="53"/>
      <c r="M17" s="54" t="s">
        <v>13</v>
      </c>
      <c r="N17" s="55" t="str">
        <f>IF(SUM(N13:N16)=0,"----",SUM((N13:N16)))</f>
        <v>----</v>
      </c>
      <c r="P17" s="3"/>
      <c r="Q17" s="3"/>
    </row>
    <row r="18" spans="1:17" ht="15" customHeight="1" thickBot="1">
      <c r="A18" s="1"/>
      <c r="B18" s="2"/>
      <c r="C18" s="2"/>
      <c r="D18" s="2"/>
      <c r="E18" s="2"/>
      <c r="F18" s="2"/>
      <c r="H18" s="1"/>
      <c r="I18" s="20"/>
      <c r="J18" s="20"/>
      <c r="K18" s="21"/>
      <c r="L18" s="22"/>
      <c r="M18" s="23"/>
      <c r="N18" s="23"/>
      <c r="P18" s="3"/>
      <c r="Q18" s="3"/>
    </row>
    <row r="19" spans="1:17" s="12" customFormat="1" ht="25.5" customHeight="1">
      <c r="A19" s="5"/>
      <c r="B19" s="56"/>
      <c r="C19" s="56"/>
      <c r="D19" s="56"/>
      <c r="E19" s="56"/>
      <c r="F19" s="56"/>
      <c r="H19" s="5"/>
      <c r="I19" s="24" t="s">
        <v>14</v>
      </c>
      <c r="J19" s="25"/>
      <c r="K19" s="25"/>
      <c r="L19" s="25"/>
      <c r="M19" s="25"/>
      <c r="N19" s="57"/>
      <c r="O19" s="11"/>
      <c r="P19" s="2"/>
      <c r="Q19" s="2"/>
    </row>
    <row r="20" spans="1:17" ht="27" customHeight="1">
      <c r="A20" s="1"/>
      <c r="B20" s="58" t="s">
        <v>15</v>
      </c>
      <c r="C20" s="59"/>
      <c r="D20" s="60"/>
      <c r="E20" s="60"/>
      <c r="F20" s="60"/>
      <c r="G20" s="61"/>
      <c r="H20" s="1"/>
      <c r="I20" s="175" t="s">
        <v>58</v>
      </c>
      <c r="J20" s="176"/>
      <c r="K20" s="176"/>
      <c r="L20" s="176"/>
      <c r="M20" s="176"/>
      <c r="N20" s="177"/>
      <c r="Q20" s="3"/>
    </row>
    <row r="21" spans="1:17" ht="12.75">
      <c r="A21" s="1"/>
      <c r="B21" s="62" t="s">
        <v>16</v>
      </c>
      <c r="D21" s="63"/>
      <c r="E21" s="63"/>
      <c r="F21" s="63"/>
      <c r="G21" s="64"/>
      <c r="H21" s="1"/>
      <c r="I21" s="178" t="str">
        <f>"For FAFSA filers, your Untaxed Income is ---&gt; $"&amp;ROUND(SUM(B23:B31),2)</f>
        <v>For FAFSA filers, your Untaxed Income is ---&gt; $0</v>
      </c>
      <c r="J21" s="179"/>
      <c r="K21" s="179"/>
      <c r="L21" s="179"/>
      <c r="M21" s="179"/>
      <c r="N21" s="180"/>
      <c r="P21" s="3"/>
      <c r="Q21" s="3"/>
    </row>
    <row r="22" spans="1:16" s="71" customFormat="1" ht="45" customHeight="1">
      <c r="A22" s="65"/>
      <c r="B22" s="66" t="s">
        <v>17</v>
      </c>
      <c r="C22" s="67" t="s">
        <v>18</v>
      </c>
      <c r="D22" s="67" t="s">
        <v>19</v>
      </c>
      <c r="E22" s="67" t="s">
        <v>20</v>
      </c>
      <c r="F22" s="67" t="s">
        <v>21</v>
      </c>
      <c r="G22" s="67" t="s">
        <v>22</v>
      </c>
      <c r="H22" s="65"/>
      <c r="I22" s="68" t="s">
        <v>23</v>
      </c>
      <c r="J22" s="69" t="s">
        <v>24</v>
      </c>
      <c r="K22" s="36" t="s">
        <v>25</v>
      </c>
      <c r="L22" s="36" t="s">
        <v>26</v>
      </c>
      <c r="M22" s="36" t="s">
        <v>27</v>
      </c>
      <c r="N22" s="37" t="s">
        <v>56</v>
      </c>
      <c r="O22" s="70"/>
      <c r="P22" s="2"/>
    </row>
    <row r="23" spans="1:14" ht="15" customHeight="1">
      <c r="A23" s="1"/>
      <c r="B23" s="72" t="str">
        <f aca="true" t="shared" si="0" ref="B23:B31"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aca="true" t="shared" si="1" ref="G23:G31">C23+D23/29+E23/30+F23/31</f>
        <v>0</v>
      </c>
      <c r="H23" s="1"/>
      <c r="I23" s="124" t="s">
        <v>248</v>
      </c>
      <c r="J23" s="121" t="s">
        <v>247</v>
      </c>
      <c r="K23" s="125">
        <v>357.54</v>
      </c>
      <c r="L23" s="122">
        <v>0.34</v>
      </c>
      <c r="M23" s="126">
        <f aca="true" t="shared" si="2" ref="M23:M31">ROUND(K23*L23,2)</f>
        <v>121.56</v>
      </c>
      <c r="N23" s="75" t="str">
        <f aca="true" t="shared" si="3" ref="N23:N31">IF($G23=0,"----",M23*$G23)</f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24" t="s">
        <v>248</v>
      </c>
      <c r="J24" s="121" t="s">
        <v>252</v>
      </c>
      <c r="K24" s="125">
        <v>424.46</v>
      </c>
      <c r="L24" s="122">
        <v>0.34</v>
      </c>
      <c r="M24" s="126">
        <f t="shared" si="2"/>
        <v>144.32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24" t="s">
        <v>250</v>
      </c>
      <c r="J25" s="121" t="s">
        <v>247</v>
      </c>
      <c r="K25" s="125">
        <v>473.74</v>
      </c>
      <c r="L25" s="122">
        <v>0.28</v>
      </c>
      <c r="M25" s="126">
        <f t="shared" si="2"/>
        <v>132.65</v>
      </c>
      <c r="N25" s="75" t="str">
        <f t="shared" si="3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24" t="s">
        <v>253</v>
      </c>
      <c r="J26" s="121" t="s">
        <v>247</v>
      </c>
      <c r="K26" s="125">
        <v>380.8</v>
      </c>
      <c r="L26" s="122">
        <v>0.39</v>
      </c>
      <c r="M26" s="126">
        <f t="shared" si="2"/>
        <v>148.51</v>
      </c>
      <c r="N26" s="75" t="str">
        <f t="shared" si="3"/>
        <v>----</v>
      </c>
    </row>
    <row r="27" spans="1:14" ht="15" customHeigh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24" t="s">
        <v>253</v>
      </c>
      <c r="J27" s="121" t="s">
        <v>252</v>
      </c>
      <c r="K27" s="125">
        <v>410.56</v>
      </c>
      <c r="L27" s="122">
        <v>0.39</v>
      </c>
      <c r="M27" s="126">
        <f t="shared" si="2"/>
        <v>160.12</v>
      </c>
      <c r="N27" s="75" t="str">
        <f t="shared" si="3"/>
        <v>----</v>
      </c>
    </row>
    <row r="28" spans="1:14" ht="15" customHeight="1">
      <c r="A28" s="1"/>
      <c r="B28" s="72" t="str">
        <f t="shared" si="0"/>
        <v>----</v>
      </c>
      <c r="C28" s="73">
        <v>0</v>
      </c>
      <c r="D28" s="73">
        <v>0</v>
      </c>
      <c r="E28" s="73">
        <v>0</v>
      </c>
      <c r="F28" s="73">
        <v>0</v>
      </c>
      <c r="G28" s="74">
        <f t="shared" si="1"/>
        <v>0</v>
      </c>
      <c r="H28" s="1"/>
      <c r="I28" s="124" t="s">
        <v>251</v>
      </c>
      <c r="J28" s="121" t="s">
        <v>247</v>
      </c>
      <c r="K28" s="125">
        <v>280.27</v>
      </c>
      <c r="L28" s="122">
        <v>0.39</v>
      </c>
      <c r="M28" s="126">
        <f t="shared" si="2"/>
        <v>109.31</v>
      </c>
      <c r="N28" s="75" t="str">
        <f t="shared" si="3"/>
        <v>----</v>
      </c>
    </row>
    <row r="29" spans="1:14" ht="15" customHeight="1">
      <c r="A29" s="1"/>
      <c r="B29" s="72" t="str">
        <f t="shared" si="0"/>
        <v>----</v>
      </c>
      <c r="C29" s="73">
        <v>0</v>
      </c>
      <c r="D29" s="73">
        <v>0</v>
      </c>
      <c r="E29" s="73">
        <v>0</v>
      </c>
      <c r="F29" s="73">
        <v>0</v>
      </c>
      <c r="G29" s="74">
        <f t="shared" si="1"/>
        <v>0</v>
      </c>
      <c r="H29" s="1"/>
      <c r="I29" s="124" t="s">
        <v>251</v>
      </c>
      <c r="J29" s="121" t="s">
        <v>252</v>
      </c>
      <c r="K29" s="125">
        <v>322.58</v>
      </c>
      <c r="L29" s="122">
        <v>0.39</v>
      </c>
      <c r="M29" s="126">
        <f t="shared" si="2"/>
        <v>125.81</v>
      </c>
      <c r="N29" s="75" t="str">
        <f t="shared" si="3"/>
        <v>----</v>
      </c>
    </row>
    <row r="30" spans="1:14" ht="15" customHeight="1">
      <c r="A30" s="1"/>
      <c r="B30" s="72" t="str">
        <f t="shared" si="0"/>
        <v>----</v>
      </c>
      <c r="C30" s="73">
        <v>0</v>
      </c>
      <c r="D30" s="73">
        <v>0</v>
      </c>
      <c r="E30" s="73">
        <v>0</v>
      </c>
      <c r="F30" s="73">
        <v>0</v>
      </c>
      <c r="G30" s="74">
        <f t="shared" si="1"/>
        <v>0</v>
      </c>
      <c r="H30" s="1"/>
      <c r="I30" s="124" t="s">
        <v>249</v>
      </c>
      <c r="J30" s="121" t="s">
        <v>247</v>
      </c>
      <c r="K30" s="125">
        <v>254.06</v>
      </c>
      <c r="L30" s="122">
        <v>0.43</v>
      </c>
      <c r="M30" s="126">
        <f t="shared" si="2"/>
        <v>109.25</v>
      </c>
      <c r="N30" s="75" t="str">
        <f t="shared" si="3"/>
        <v>----</v>
      </c>
    </row>
    <row r="31" spans="1:14" ht="15" customHeight="1" thickBot="1">
      <c r="A31" s="1"/>
      <c r="B31" s="72" t="str">
        <f t="shared" si="0"/>
        <v>----</v>
      </c>
      <c r="C31" s="73">
        <v>0</v>
      </c>
      <c r="D31" s="73">
        <v>0</v>
      </c>
      <c r="E31" s="73">
        <v>0</v>
      </c>
      <c r="F31" s="73">
        <v>0</v>
      </c>
      <c r="G31" s="74">
        <f t="shared" si="1"/>
        <v>0</v>
      </c>
      <c r="H31" s="1"/>
      <c r="I31" s="124" t="s">
        <v>249</v>
      </c>
      <c r="J31" s="121" t="s">
        <v>252</v>
      </c>
      <c r="K31" s="125">
        <v>288.36</v>
      </c>
      <c r="L31" s="122">
        <v>0.43</v>
      </c>
      <c r="M31" s="126">
        <f t="shared" si="2"/>
        <v>123.99</v>
      </c>
      <c r="N31" s="75" t="str">
        <f t="shared" si="3"/>
        <v>----</v>
      </c>
    </row>
    <row r="32" spans="1:16" ht="20.25" customHeight="1" thickBot="1">
      <c r="A32" s="1"/>
      <c r="B32" s="78">
        <f>SUM(B23:B31)</f>
        <v>0</v>
      </c>
      <c r="C32" s="79"/>
      <c r="D32" s="79"/>
      <c r="E32" s="79"/>
      <c r="F32" s="79"/>
      <c r="G32" s="79"/>
      <c r="H32" s="1"/>
      <c r="I32" s="80"/>
      <c r="J32" s="52"/>
      <c r="K32" s="81"/>
      <c r="L32" s="82"/>
      <c r="M32" s="54" t="s">
        <v>29</v>
      </c>
      <c r="N32" s="83" t="str">
        <f>IF(SUM(N23:N31)=0,"----",SUM((N23:N31)))</f>
        <v>----</v>
      </c>
      <c r="P32" s="84"/>
    </row>
    <row r="33" spans="1:14" ht="15" customHeight="1" thickBot="1">
      <c r="A33" s="1"/>
      <c r="B33" s="79"/>
      <c r="C33" s="79"/>
      <c r="D33" s="79"/>
      <c r="E33" s="79"/>
      <c r="F33" s="79"/>
      <c r="H33" s="1"/>
      <c r="I33" s="85"/>
      <c r="J33" s="21"/>
      <c r="K33" s="86"/>
      <c r="L33" s="87"/>
      <c r="M33" s="23"/>
      <c r="N33" s="23"/>
    </row>
    <row r="34" spans="1:17" ht="25.5" customHeight="1">
      <c r="A34" s="1"/>
      <c r="B34" s="71"/>
      <c r="C34" s="2"/>
      <c r="D34" s="2"/>
      <c r="E34" s="2"/>
      <c r="F34" s="71"/>
      <c r="H34" s="1"/>
      <c r="I34" s="24" t="s">
        <v>30</v>
      </c>
      <c r="J34" s="25"/>
      <c r="K34" s="88"/>
      <c r="L34" s="89"/>
      <c r="M34" s="90" t="s">
        <v>31</v>
      </c>
      <c r="N34" s="26"/>
      <c r="P34" s="91"/>
      <c r="Q34" s="3"/>
    </row>
    <row r="35" spans="1:17" ht="28.5" customHeight="1">
      <c r="A35" s="1"/>
      <c r="B35" s="92" t="s">
        <v>32</v>
      </c>
      <c r="C35" s="93"/>
      <c r="D35" s="93"/>
      <c r="E35" s="94"/>
      <c r="F35" s="71"/>
      <c r="G35" s="95" t="s">
        <v>33</v>
      </c>
      <c r="H35" s="1"/>
      <c r="I35" s="175" t="s">
        <v>34</v>
      </c>
      <c r="J35" s="186"/>
      <c r="K35" s="186"/>
      <c r="L35" s="186"/>
      <c r="M35" s="184" t="s">
        <v>35</v>
      </c>
      <c r="N35" s="185"/>
      <c r="P35" s="3"/>
      <c r="Q35" s="3"/>
    </row>
    <row r="36" spans="1:17" ht="45" customHeight="1">
      <c r="A36" s="1"/>
      <c r="B36" s="67" t="s">
        <v>18</v>
      </c>
      <c r="C36" s="67" t="s">
        <v>36</v>
      </c>
      <c r="D36" s="67" t="s">
        <v>37</v>
      </c>
      <c r="E36" s="67" t="s">
        <v>38</v>
      </c>
      <c r="G36" s="67" t="s">
        <v>39</v>
      </c>
      <c r="H36" s="1"/>
      <c r="I36" s="96" t="s">
        <v>27</v>
      </c>
      <c r="J36" s="97" t="s">
        <v>56</v>
      </c>
      <c r="K36" s="3"/>
      <c r="L36" s="3"/>
      <c r="M36" s="36" t="s">
        <v>40</v>
      </c>
      <c r="N36" s="37" t="s">
        <v>56</v>
      </c>
      <c r="Q36" s="3"/>
    </row>
    <row r="37" spans="1:17" ht="15" customHeight="1" thickBot="1">
      <c r="A37" s="1"/>
      <c r="B37" s="98">
        <f>SUM(C23:C31)</f>
        <v>0</v>
      </c>
      <c r="C37" s="98">
        <f>COUNTIF(D23:F31,"&gt;=16")</f>
        <v>0</v>
      </c>
      <c r="D37" s="98">
        <f>(COUNTIF(D23:F31,"&gt;0")-C37)/2</f>
        <v>0</v>
      </c>
      <c r="E37" s="98">
        <f>SUM(B37:D37)</f>
        <v>0</v>
      </c>
      <c r="G37" s="99">
        <v>0</v>
      </c>
      <c r="H37" s="1"/>
      <c r="I37" s="100">
        <v>24</v>
      </c>
      <c r="J37" s="101" t="str">
        <f>IF(E37*I37=0,"----",E37*I37)</f>
        <v>----</v>
      </c>
      <c r="K37" s="3"/>
      <c r="L37" s="3"/>
      <c r="M37" s="102">
        <v>12</v>
      </c>
      <c r="N37" s="76" t="str">
        <f>IF($G37=0,"----",M37*$G37)</f>
        <v>----</v>
      </c>
      <c r="Q37" s="3"/>
    </row>
    <row r="38" spans="1:17" ht="15" customHeight="1" thickBot="1">
      <c r="A38" s="1"/>
      <c r="B38" s="12"/>
      <c r="C38" s="12"/>
      <c r="D38" s="12"/>
      <c r="E38" s="103"/>
      <c r="F38" s="12"/>
      <c r="G38" s="12"/>
      <c r="H38" s="1"/>
      <c r="I38" s="104"/>
      <c r="J38" s="105"/>
      <c r="K38" s="105"/>
      <c r="L38" s="106"/>
      <c r="M38" s="54" t="s">
        <v>41</v>
      </c>
      <c r="N38" s="83" t="str">
        <f>IF(SUM(J37,N37)=0,"----",SUM((J37,N37)))</f>
        <v>----</v>
      </c>
      <c r="Q38" s="3"/>
    </row>
    <row r="39" spans="1:15" s="12" customFormat="1" ht="15" customHeight="1">
      <c r="A39" s="5"/>
      <c r="E39" s="2"/>
      <c r="F39" s="2"/>
      <c r="H39" s="5"/>
      <c r="I39" s="2"/>
      <c r="J39" s="2"/>
      <c r="K39" s="2"/>
      <c r="L39" s="2"/>
      <c r="M39" s="2"/>
      <c r="N39" s="2"/>
      <c r="O39" s="11"/>
    </row>
    <row r="40" spans="1:15" s="12" customFormat="1" ht="20.25" customHeight="1">
      <c r="A40" s="5"/>
      <c r="H40" s="5"/>
      <c r="I40" s="2"/>
      <c r="J40" s="2"/>
      <c r="K40" s="2"/>
      <c r="L40" s="2"/>
      <c r="M40" s="23" t="s">
        <v>42</v>
      </c>
      <c r="N40" s="107">
        <f>SUM(N17,N32,N38)</f>
        <v>0</v>
      </c>
      <c r="O40" s="11"/>
    </row>
    <row r="41" spans="1:14" ht="15.75" thickBot="1">
      <c r="A41" s="1"/>
      <c r="B41" s="2"/>
      <c r="C41" s="2"/>
      <c r="D41" s="2"/>
      <c r="E41" s="2"/>
      <c r="F41" s="2"/>
      <c r="H41" s="1"/>
      <c r="M41" s="23" t="s">
        <v>43</v>
      </c>
      <c r="N41" s="107">
        <f>IF(G43=0,"",G43)</f>
      </c>
    </row>
    <row r="42" spans="1:14" ht="19.5" customHeight="1" thickBot="1">
      <c r="A42" s="1"/>
      <c r="B42" s="108" t="s">
        <v>44</v>
      </c>
      <c r="C42" s="109"/>
      <c r="D42" s="109"/>
      <c r="E42" s="109"/>
      <c r="F42" s="109"/>
      <c r="G42" s="110"/>
      <c r="H42" s="1"/>
      <c r="M42" s="111" t="s">
        <v>54</v>
      </c>
      <c r="N42" s="112">
        <f>IF(G43=0,"",SUM(N40:N41))</f>
      </c>
    </row>
    <row r="43" spans="1:14" ht="19.5" customHeight="1">
      <c r="A43" s="1"/>
      <c r="B43" s="183" t="s">
        <v>45</v>
      </c>
      <c r="C43" s="183"/>
      <c r="D43" s="183"/>
      <c r="E43" s="183"/>
      <c r="F43" s="183"/>
      <c r="G43" s="113">
        <v>0</v>
      </c>
      <c r="H43" s="1"/>
      <c r="M43" s="111"/>
      <c r="N43" s="114" t="s">
        <v>55</v>
      </c>
    </row>
    <row r="44" spans="1:14" ht="19.5" customHeight="1">
      <c r="A44" s="1"/>
      <c r="B44" s="1"/>
      <c r="C44" s="1"/>
      <c r="D44" s="1"/>
      <c r="E44" s="1"/>
      <c r="F44" s="1"/>
      <c r="G44" s="1"/>
      <c r="H44" s="1"/>
      <c r="I44" s="115" t="s">
        <v>46</v>
      </c>
      <c r="J44" s="29"/>
      <c r="K44" s="29"/>
      <c r="L44" s="29"/>
      <c r="M44" s="29"/>
      <c r="N44" s="29"/>
    </row>
    <row r="45" spans="1:17" ht="12.75">
      <c r="A45" s="2"/>
      <c r="B45" s="2"/>
      <c r="C45" s="2"/>
      <c r="D45" s="2"/>
      <c r="E45" s="2"/>
      <c r="F45" s="2"/>
      <c r="H45" s="2"/>
      <c r="P45" s="116"/>
      <c r="Q45" s="116"/>
    </row>
    <row r="46" ht="28.5" customHeight="1">
      <c r="H46" s="2"/>
    </row>
    <row r="47" ht="12.75">
      <c r="H47" s="2"/>
    </row>
    <row r="66" spans="2:7" ht="12.75">
      <c r="B66" s="11"/>
      <c r="C66" s="11"/>
      <c r="G66" s="12"/>
    </row>
  </sheetData>
  <sheetProtection/>
  <mergeCells count="14">
    <mergeCell ref="B43:F43"/>
    <mergeCell ref="C8:D8"/>
    <mergeCell ref="E8:G8"/>
    <mergeCell ref="I11:N11"/>
    <mergeCell ref="I20:N20"/>
    <mergeCell ref="I21:N21"/>
    <mergeCell ref="I35:L35"/>
    <mergeCell ref="M35:N35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19.00390625" style="2" customWidth="1"/>
    <col min="10" max="10" width="15.8515625" style="2" customWidth="1"/>
    <col min="11" max="11" width="15.7109375" style="2" customWidth="1"/>
    <col min="12" max="12" width="14.57421875" style="2" customWidth="1"/>
    <col min="13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Eastern Caribbean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101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39868</v>
      </c>
      <c r="J13" s="119">
        <v>39927</v>
      </c>
      <c r="K13" s="44">
        <f>+J13-I13+1</f>
        <v>60</v>
      </c>
      <c r="L13" s="129">
        <v>1.67</v>
      </c>
      <c r="M13" s="130">
        <f>ROUND(K13*L13,2)</f>
        <v>100.2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40050</v>
      </c>
      <c r="J14" s="119">
        <v>40106</v>
      </c>
      <c r="K14" s="44">
        <f>+J14-I14+1</f>
        <v>57</v>
      </c>
      <c r="L14" s="129">
        <v>1.67</v>
      </c>
      <c r="M14" s="130">
        <f>ROUND(K14*L14,2)</f>
        <v>95.19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$"&amp;ROUND(SUM(B21:B26),2)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 aca="true" t="shared" si="0" ref="B21:B26"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aca="true" t="shared" si="1" ref="G21:G26">C21+D21/29+E21/30+F21/31</f>
        <v>0</v>
      </c>
      <c r="H21" s="1"/>
      <c r="I21" s="133" t="s">
        <v>102</v>
      </c>
      <c r="J21" s="141" t="s">
        <v>28</v>
      </c>
      <c r="K21" s="135">
        <f>646.2-24</f>
        <v>622.2</v>
      </c>
      <c r="L21" s="122">
        <v>0.22</v>
      </c>
      <c r="M21" s="126">
        <f aca="true" t="shared" si="2" ref="M21:M26">ROUND(K21*L21,2)</f>
        <v>136.88</v>
      </c>
      <c r="N21" s="75" t="str">
        <f aca="true" t="shared" si="3" ref="N21:N26">IF($G21=0,"----",M21*$G21)</f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37" t="s">
        <v>103</v>
      </c>
      <c r="J22" s="141" t="s">
        <v>28</v>
      </c>
      <c r="K22" s="135">
        <f>605.19-24</f>
        <v>581.19</v>
      </c>
      <c r="L22" s="122">
        <v>0.22</v>
      </c>
      <c r="M22" s="126">
        <f t="shared" si="2"/>
        <v>127.86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37" t="s">
        <v>104</v>
      </c>
      <c r="J23" s="141" t="s">
        <v>28</v>
      </c>
      <c r="K23" s="135">
        <f>794.84-24</f>
        <v>770.84</v>
      </c>
      <c r="L23" s="122">
        <v>0.22</v>
      </c>
      <c r="M23" s="126">
        <f t="shared" si="2"/>
        <v>169.58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37" t="s">
        <v>105</v>
      </c>
      <c r="J24" s="141" t="s">
        <v>28</v>
      </c>
      <c r="K24" s="135">
        <f>719.63-24</f>
        <v>695.63</v>
      </c>
      <c r="L24" s="122">
        <v>0.22</v>
      </c>
      <c r="M24" s="126">
        <f t="shared" si="2"/>
        <v>153.04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37" t="s">
        <v>106</v>
      </c>
      <c r="J25" s="141" t="s">
        <v>28</v>
      </c>
      <c r="K25" s="135">
        <f>695.92-24</f>
        <v>671.92</v>
      </c>
      <c r="L25" s="122">
        <v>0.22</v>
      </c>
      <c r="M25" s="126">
        <f t="shared" si="2"/>
        <v>147.82</v>
      </c>
      <c r="N25" s="75" t="str">
        <f t="shared" si="3"/>
        <v>----</v>
      </c>
    </row>
    <row r="26" spans="1:14" ht="15" customHeight="1" thickBo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37" t="s">
        <v>107</v>
      </c>
      <c r="J26" s="141" t="s">
        <v>28</v>
      </c>
      <c r="K26" s="135">
        <f>713.75-24</f>
        <v>689.75</v>
      </c>
      <c r="L26" s="122">
        <v>0.22</v>
      </c>
      <c r="M26" s="126">
        <f t="shared" si="2"/>
        <v>151.75</v>
      </c>
      <c r="N26" s="75" t="str">
        <f t="shared" si="3"/>
        <v>----</v>
      </c>
    </row>
    <row r="27" spans="1:16" ht="20.25" customHeight="1" thickBot="1">
      <c r="A27" s="1"/>
      <c r="B27" s="78">
        <f>SUM(B21:B26)</f>
        <v>0</v>
      </c>
      <c r="C27" s="79"/>
      <c r="D27" s="79"/>
      <c r="E27" s="79"/>
      <c r="F27" s="79"/>
      <c r="G27" s="79"/>
      <c r="H27" s="1"/>
      <c r="I27" s="80"/>
      <c r="J27" s="52"/>
      <c r="K27" s="81"/>
      <c r="L27" s="82"/>
      <c r="M27" s="54" t="s">
        <v>29</v>
      </c>
      <c r="N27" s="83" t="str">
        <f>IF(SUM(N21:N26)=0,"----",SUM((N21:N26)))</f>
        <v>----</v>
      </c>
      <c r="P27" s="84"/>
    </row>
    <row r="28" spans="1:14" ht="15" customHeight="1" thickBot="1">
      <c r="A28" s="1"/>
      <c r="B28" s="79"/>
      <c r="C28" s="79"/>
      <c r="D28" s="79"/>
      <c r="E28" s="79"/>
      <c r="F28" s="79"/>
      <c r="H28" s="1"/>
      <c r="I28" s="85"/>
      <c r="J28" s="21"/>
      <c r="K28" s="86"/>
      <c r="L28" s="87"/>
      <c r="M28" s="23"/>
      <c r="N28" s="23"/>
    </row>
    <row r="29" spans="1:17" ht="25.5" customHeight="1">
      <c r="A29" s="1"/>
      <c r="B29" s="71"/>
      <c r="C29" s="2"/>
      <c r="D29" s="2"/>
      <c r="E29" s="2"/>
      <c r="F29" s="71"/>
      <c r="H29" s="1"/>
      <c r="I29" s="24" t="s">
        <v>30</v>
      </c>
      <c r="J29" s="25"/>
      <c r="K29" s="88"/>
      <c r="L29" s="89"/>
      <c r="M29" s="90" t="s">
        <v>31</v>
      </c>
      <c r="N29" s="26"/>
      <c r="P29" s="91"/>
      <c r="Q29" s="3"/>
    </row>
    <row r="30" spans="1:17" ht="28.5" customHeight="1">
      <c r="A30" s="1"/>
      <c r="B30" s="92" t="s">
        <v>32</v>
      </c>
      <c r="C30" s="93"/>
      <c r="D30" s="93"/>
      <c r="E30" s="94"/>
      <c r="F30" s="71"/>
      <c r="G30" s="95" t="s">
        <v>33</v>
      </c>
      <c r="H30" s="1"/>
      <c r="I30" s="175" t="s">
        <v>34</v>
      </c>
      <c r="J30" s="186"/>
      <c r="K30" s="186"/>
      <c r="L30" s="186"/>
      <c r="M30" s="184" t="s">
        <v>35</v>
      </c>
      <c r="N30" s="185"/>
      <c r="P30" s="3"/>
      <c r="Q30" s="3"/>
    </row>
    <row r="31" spans="1:17" ht="45" customHeight="1">
      <c r="A31" s="1"/>
      <c r="B31" s="67" t="s">
        <v>18</v>
      </c>
      <c r="C31" s="67" t="s">
        <v>36</v>
      </c>
      <c r="D31" s="67" t="s">
        <v>37</v>
      </c>
      <c r="E31" s="67" t="s">
        <v>38</v>
      </c>
      <c r="G31" s="67" t="s">
        <v>39</v>
      </c>
      <c r="H31" s="1"/>
      <c r="I31" s="96" t="s">
        <v>27</v>
      </c>
      <c r="J31" s="97" t="s">
        <v>56</v>
      </c>
      <c r="K31" s="3"/>
      <c r="L31" s="3"/>
      <c r="M31" s="36" t="s">
        <v>40</v>
      </c>
      <c r="N31" s="37" t="s">
        <v>56</v>
      </c>
      <c r="Q31" s="3"/>
    </row>
    <row r="32" spans="1:17" ht="15" customHeight="1" thickBot="1">
      <c r="A32" s="1"/>
      <c r="B32" s="98">
        <f>SUM(C21:C26)</f>
        <v>0</v>
      </c>
      <c r="C32" s="98">
        <f>COUNTIF(D21:F26,"&gt;=16")</f>
        <v>0</v>
      </c>
      <c r="D32" s="98">
        <f>(COUNTIF(D21:F26,"&gt;0")-C32)/2</f>
        <v>0</v>
      </c>
      <c r="E32" s="98">
        <f>SUM(B32:D32)</f>
        <v>0</v>
      </c>
      <c r="G32" s="99">
        <v>0</v>
      </c>
      <c r="H32" s="1"/>
      <c r="I32" s="100">
        <v>24</v>
      </c>
      <c r="J32" s="101" t="str">
        <f>IF(E32*I32=0,"----",E32*I32)</f>
        <v>----</v>
      </c>
      <c r="K32" s="3"/>
      <c r="L32" s="3"/>
      <c r="M32" s="102">
        <v>12</v>
      </c>
      <c r="N32" s="76" t="str">
        <f>IF($G32=0,"----",M32*$G32)</f>
        <v>----</v>
      </c>
      <c r="Q32" s="3"/>
    </row>
    <row r="33" spans="1:17" ht="15" customHeight="1" thickBot="1">
      <c r="A33" s="1"/>
      <c r="B33" s="12"/>
      <c r="C33" s="12"/>
      <c r="D33" s="12"/>
      <c r="E33" s="103"/>
      <c r="F33" s="12"/>
      <c r="G33" s="12"/>
      <c r="H33" s="1"/>
      <c r="I33" s="104"/>
      <c r="J33" s="105"/>
      <c r="K33" s="105"/>
      <c r="L33" s="106"/>
      <c r="M33" s="54" t="s">
        <v>41</v>
      </c>
      <c r="N33" s="83" t="str">
        <f>IF(SUM(J32,N32)=0,"----",SUM((J32,N32)))</f>
        <v>----</v>
      </c>
      <c r="Q33" s="3"/>
    </row>
    <row r="34" spans="1:15" s="12" customFormat="1" ht="15" customHeight="1">
      <c r="A34" s="5"/>
      <c r="E34" s="2"/>
      <c r="F34" s="2"/>
      <c r="H34" s="5"/>
      <c r="I34" s="2"/>
      <c r="J34" s="2"/>
      <c r="K34" s="2"/>
      <c r="L34" s="2"/>
      <c r="M34" s="2"/>
      <c r="N34" s="2"/>
      <c r="O34" s="11"/>
    </row>
    <row r="35" spans="1:15" s="12" customFormat="1" ht="20.25" customHeight="1">
      <c r="A35" s="5"/>
      <c r="H35" s="5"/>
      <c r="I35" s="2"/>
      <c r="J35" s="2"/>
      <c r="K35" s="2"/>
      <c r="L35" s="2"/>
      <c r="M35" s="23" t="s">
        <v>42</v>
      </c>
      <c r="N35" s="107">
        <f>SUM(N15,N27,N33)</f>
        <v>0</v>
      </c>
      <c r="O35" s="11"/>
    </row>
    <row r="36" spans="1:14" ht="15.75" thickBot="1">
      <c r="A36" s="1"/>
      <c r="B36" s="2"/>
      <c r="C36" s="2"/>
      <c r="D36" s="2"/>
      <c r="E36" s="2"/>
      <c r="F36" s="2"/>
      <c r="H36" s="1"/>
      <c r="M36" s="23" t="s">
        <v>43</v>
      </c>
      <c r="N36" s="107">
        <f>IF(G38=0,"",G38)</f>
      </c>
    </row>
    <row r="37" spans="1:14" ht="19.5" customHeight="1" thickBot="1">
      <c r="A37" s="1"/>
      <c r="B37" s="108" t="s">
        <v>44</v>
      </c>
      <c r="C37" s="109"/>
      <c r="D37" s="109"/>
      <c r="E37" s="109"/>
      <c r="F37" s="109"/>
      <c r="G37" s="110"/>
      <c r="H37" s="1"/>
      <c r="M37" s="111" t="s">
        <v>54</v>
      </c>
      <c r="N37" s="112">
        <f>IF(G38=0,"",SUM(N35:N36))</f>
      </c>
    </row>
    <row r="38" spans="1:14" ht="19.5" customHeight="1">
      <c r="A38" s="1"/>
      <c r="B38" s="183" t="s">
        <v>45</v>
      </c>
      <c r="C38" s="183"/>
      <c r="D38" s="183"/>
      <c r="E38" s="183"/>
      <c r="F38" s="183"/>
      <c r="G38" s="113">
        <v>0</v>
      </c>
      <c r="H38" s="1"/>
      <c r="M38" s="111"/>
      <c r="N38" s="114" t="s">
        <v>55</v>
      </c>
    </row>
    <row r="39" spans="1:14" ht="19.5" customHeight="1">
      <c r="A39" s="1"/>
      <c r="B39" s="1"/>
      <c r="C39" s="1"/>
      <c r="D39" s="1"/>
      <c r="E39" s="1"/>
      <c r="F39" s="1"/>
      <c r="G39" s="1"/>
      <c r="H39" s="1"/>
      <c r="I39" s="115" t="s">
        <v>46</v>
      </c>
      <c r="J39" s="29"/>
      <c r="K39" s="29"/>
      <c r="L39" s="29"/>
      <c r="M39" s="29"/>
      <c r="N39" s="29"/>
    </row>
    <row r="40" spans="1:17" ht="12.75">
      <c r="A40" s="2"/>
      <c r="B40" s="2"/>
      <c r="C40" s="2"/>
      <c r="D40" s="2"/>
      <c r="E40" s="2"/>
      <c r="F40" s="2"/>
      <c r="H40" s="2"/>
      <c r="P40" s="116"/>
      <c r="Q40" s="116"/>
    </row>
    <row r="41" ht="28.5" customHeight="1">
      <c r="H41" s="2"/>
    </row>
    <row r="42" ht="12.75">
      <c r="H42" s="2"/>
    </row>
    <row r="61" spans="2:7" ht="12.75">
      <c r="B61" s="11"/>
      <c r="C61" s="11"/>
      <c r="G61" s="12"/>
    </row>
  </sheetData>
  <sheetProtection/>
  <mergeCells count="14">
    <mergeCell ref="B38:F38"/>
    <mergeCell ref="I11:N11"/>
    <mergeCell ref="I18:N18"/>
    <mergeCell ref="I19:N19"/>
    <mergeCell ref="I30:L30"/>
    <mergeCell ref="M30:N30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Q6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Ecuador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96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39869</v>
      </c>
      <c r="J13" s="119">
        <v>39932</v>
      </c>
      <c r="K13" s="44">
        <f>+J13-I13+1</f>
        <v>64</v>
      </c>
      <c r="L13" s="129">
        <v>9.15</v>
      </c>
      <c r="M13" s="130">
        <f>ROUND(K13*L13,2)</f>
        <v>585.6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39981</v>
      </c>
      <c r="J14" s="119">
        <v>40044</v>
      </c>
      <c r="K14" s="44">
        <f>+J14-I14+1</f>
        <v>64</v>
      </c>
      <c r="L14" s="129">
        <v>9.23</v>
      </c>
      <c r="M14" s="130">
        <f>ROUND(K14*L14,2)</f>
        <v>590.72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$"&amp;ROUND(SUM(B21:B26),2)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 aca="true" t="shared" si="0" ref="B21:B26"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aca="true" t="shared" si="1" ref="G21:G26">C21+D21/29+E21/30+F21/31</f>
        <v>0</v>
      </c>
      <c r="H21" s="1"/>
      <c r="I21" s="133" t="s">
        <v>98</v>
      </c>
      <c r="J21" s="134" t="s">
        <v>82</v>
      </c>
      <c r="K21" s="135">
        <v>355</v>
      </c>
      <c r="L21" s="122">
        <v>0.31</v>
      </c>
      <c r="M21" s="126">
        <f aca="true" t="shared" si="2" ref="M21:M26">ROUND(K21*L21,2)</f>
        <v>110.05</v>
      </c>
      <c r="N21" s="75" t="str">
        <f aca="true" t="shared" si="3" ref="N21:N26">IF($G21=0,"----",M21*$G21)</f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37" t="s">
        <v>99</v>
      </c>
      <c r="J22" s="134" t="s">
        <v>82</v>
      </c>
      <c r="K22" s="135">
        <v>355</v>
      </c>
      <c r="L22" s="122">
        <v>0.31</v>
      </c>
      <c r="M22" s="126">
        <f t="shared" si="2"/>
        <v>110.05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37" t="s">
        <v>100</v>
      </c>
      <c r="J23" s="134" t="s">
        <v>82</v>
      </c>
      <c r="K23" s="135">
        <v>251</v>
      </c>
      <c r="L23" s="122">
        <v>0.31</v>
      </c>
      <c r="M23" s="126">
        <f t="shared" si="2"/>
        <v>77.81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37" t="s">
        <v>98</v>
      </c>
      <c r="J24" s="134" t="s">
        <v>97</v>
      </c>
      <c r="K24" s="135">
        <v>355</v>
      </c>
      <c r="L24" s="122">
        <v>0.31</v>
      </c>
      <c r="M24" s="126">
        <f t="shared" si="2"/>
        <v>110.05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37" t="s">
        <v>99</v>
      </c>
      <c r="J25" s="134" t="s">
        <v>97</v>
      </c>
      <c r="K25" s="135">
        <v>347</v>
      </c>
      <c r="L25" s="122">
        <v>0.31</v>
      </c>
      <c r="M25" s="126">
        <f t="shared" si="2"/>
        <v>107.57</v>
      </c>
      <c r="N25" s="75" t="str">
        <f t="shared" si="3"/>
        <v>----</v>
      </c>
    </row>
    <row r="26" spans="1:14" ht="15" customHeight="1" thickBo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37" t="s">
        <v>100</v>
      </c>
      <c r="J26" s="134" t="s">
        <v>97</v>
      </c>
      <c r="K26" s="135">
        <v>292.75</v>
      </c>
      <c r="L26" s="122">
        <v>0.31</v>
      </c>
      <c r="M26" s="126">
        <f t="shared" si="2"/>
        <v>90.75</v>
      </c>
      <c r="N26" s="75" t="str">
        <f t="shared" si="3"/>
        <v>----</v>
      </c>
    </row>
    <row r="27" spans="1:16" ht="20.25" customHeight="1" thickBot="1">
      <c r="A27" s="1"/>
      <c r="B27" s="78">
        <f>SUM(B21:B26)</f>
        <v>0</v>
      </c>
      <c r="C27" s="79"/>
      <c r="D27" s="79"/>
      <c r="E27" s="79"/>
      <c r="F27" s="79"/>
      <c r="G27" s="79"/>
      <c r="H27" s="1"/>
      <c r="I27" s="80"/>
      <c r="J27" s="52"/>
      <c r="K27" s="81"/>
      <c r="L27" s="82"/>
      <c r="M27" s="54" t="s">
        <v>29</v>
      </c>
      <c r="N27" s="83" t="str">
        <f>IF(SUM(N21:N26)=0,"----",SUM((N21:N26)))</f>
        <v>----</v>
      </c>
      <c r="P27" s="84"/>
    </row>
    <row r="28" spans="1:14" ht="15" customHeight="1" thickBot="1">
      <c r="A28" s="1"/>
      <c r="B28" s="79"/>
      <c r="C28" s="79"/>
      <c r="D28" s="79"/>
      <c r="E28" s="79"/>
      <c r="F28" s="79"/>
      <c r="H28" s="1"/>
      <c r="I28" s="85"/>
      <c r="J28" s="21"/>
      <c r="K28" s="86"/>
      <c r="L28" s="87"/>
      <c r="M28" s="23"/>
      <c r="N28" s="23"/>
    </row>
    <row r="29" spans="1:17" ht="25.5" customHeight="1">
      <c r="A29" s="1"/>
      <c r="B29" s="71"/>
      <c r="C29" s="2"/>
      <c r="D29" s="2"/>
      <c r="E29" s="2"/>
      <c r="F29" s="71"/>
      <c r="H29" s="1"/>
      <c r="I29" s="24" t="s">
        <v>30</v>
      </c>
      <c r="J29" s="25"/>
      <c r="K29" s="88"/>
      <c r="L29" s="89"/>
      <c r="M29" s="90" t="s">
        <v>31</v>
      </c>
      <c r="N29" s="26"/>
      <c r="P29" s="91"/>
      <c r="Q29" s="3"/>
    </row>
    <row r="30" spans="1:17" ht="28.5" customHeight="1">
      <c r="A30" s="1"/>
      <c r="B30" s="92" t="s">
        <v>32</v>
      </c>
      <c r="C30" s="93"/>
      <c r="D30" s="93"/>
      <c r="E30" s="94"/>
      <c r="F30" s="71"/>
      <c r="G30" s="95" t="s">
        <v>33</v>
      </c>
      <c r="H30" s="1"/>
      <c r="I30" s="175" t="s">
        <v>34</v>
      </c>
      <c r="J30" s="186"/>
      <c r="K30" s="186"/>
      <c r="L30" s="186"/>
      <c r="M30" s="184" t="s">
        <v>35</v>
      </c>
      <c r="N30" s="185"/>
      <c r="P30" s="3"/>
      <c r="Q30" s="3"/>
    </row>
    <row r="31" spans="1:17" ht="45" customHeight="1">
      <c r="A31" s="1"/>
      <c r="B31" s="67" t="s">
        <v>18</v>
      </c>
      <c r="C31" s="67" t="s">
        <v>36</v>
      </c>
      <c r="D31" s="67" t="s">
        <v>37</v>
      </c>
      <c r="E31" s="67" t="s">
        <v>38</v>
      </c>
      <c r="G31" s="67" t="s">
        <v>39</v>
      </c>
      <c r="H31" s="1"/>
      <c r="I31" s="96" t="s">
        <v>27</v>
      </c>
      <c r="J31" s="97" t="s">
        <v>56</v>
      </c>
      <c r="K31" s="3"/>
      <c r="L31" s="3"/>
      <c r="M31" s="36" t="s">
        <v>40</v>
      </c>
      <c r="N31" s="37" t="s">
        <v>56</v>
      </c>
      <c r="Q31" s="3"/>
    </row>
    <row r="32" spans="1:17" ht="15" customHeight="1" thickBot="1">
      <c r="A32" s="1"/>
      <c r="B32" s="98">
        <f>SUM(C21:C26)</f>
        <v>0</v>
      </c>
      <c r="C32" s="98">
        <f>COUNTIF(D21:F26,"&gt;=16")</f>
        <v>0</v>
      </c>
      <c r="D32" s="98">
        <f>(COUNTIF(D21:F26,"&gt;0")-C32)/2</f>
        <v>0</v>
      </c>
      <c r="E32" s="98">
        <f>SUM(B32:D32)</f>
        <v>0</v>
      </c>
      <c r="G32" s="99">
        <v>0</v>
      </c>
      <c r="H32" s="1"/>
      <c r="I32" s="100">
        <v>24</v>
      </c>
      <c r="J32" s="101" t="str">
        <f>IF(E32*I32=0,"----",E32*I32)</f>
        <v>----</v>
      </c>
      <c r="K32" s="3"/>
      <c r="L32" s="3"/>
      <c r="M32" s="102">
        <v>12</v>
      </c>
      <c r="N32" s="76" t="str">
        <f>IF($G32=0,"----",M32*$G32)</f>
        <v>----</v>
      </c>
      <c r="Q32" s="3"/>
    </row>
    <row r="33" spans="1:17" ht="15" customHeight="1" thickBot="1">
      <c r="A33" s="1"/>
      <c r="B33" s="12"/>
      <c r="C33" s="12"/>
      <c r="D33" s="12"/>
      <c r="E33" s="103"/>
      <c r="F33" s="12"/>
      <c r="G33" s="12"/>
      <c r="H33" s="1"/>
      <c r="I33" s="104"/>
      <c r="J33" s="105"/>
      <c r="K33" s="105"/>
      <c r="L33" s="106"/>
      <c r="M33" s="54" t="s">
        <v>41</v>
      </c>
      <c r="N33" s="83" t="str">
        <f>IF(SUM(J32,N32)=0,"----",SUM((J32,N32)))</f>
        <v>----</v>
      </c>
      <c r="Q33" s="3"/>
    </row>
    <row r="34" spans="1:15" s="12" customFormat="1" ht="15" customHeight="1">
      <c r="A34" s="5"/>
      <c r="E34" s="2"/>
      <c r="F34" s="2"/>
      <c r="H34" s="5"/>
      <c r="I34" s="2"/>
      <c r="J34" s="2"/>
      <c r="K34" s="2"/>
      <c r="L34" s="2"/>
      <c r="M34" s="2"/>
      <c r="N34" s="2"/>
      <c r="O34" s="11"/>
    </row>
    <row r="35" spans="1:15" s="12" customFormat="1" ht="20.25" customHeight="1">
      <c r="A35" s="5"/>
      <c r="H35" s="5"/>
      <c r="I35" s="2"/>
      <c r="J35" s="2"/>
      <c r="K35" s="2"/>
      <c r="L35" s="2"/>
      <c r="M35" s="23" t="s">
        <v>42</v>
      </c>
      <c r="N35" s="107">
        <f>SUM(N15,N27,N33)</f>
        <v>0</v>
      </c>
      <c r="O35" s="11"/>
    </row>
    <row r="36" spans="1:14" ht="15.75" thickBot="1">
      <c r="A36" s="1"/>
      <c r="B36" s="2"/>
      <c r="C36" s="2"/>
      <c r="D36" s="2"/>
      <c r="E36" s="2"/>
      <c r="F36" s="2"/>
      <c r="H36" s="1"/>
      <c r="M36" s="23" t="s">
        <v>43</v>
      </c>
      <c r="N36" s="107">
        <f>IF(G38=0,"",G38)</f>
      </c>
    </row>
    <row r="37" spans="1:14" ht="19.5" customHeight="1" thickBot="1">
      <c r="A37" s="1"/>
      <c r="B37" s="108" t="s">
        <v>44</v>
      </c>
      <c r="C37" s="109"/>
      <c r="D37" s="109"/>
      <c r="E37" s="109"/>
      <c r="F37" s="109"/>
      <c r="G37" s="110"/>
      <c r="H37" s="1"/>
      <c r="M37" s="111" t="s">
        <v>54</v>
      </c>
      <c r="N37" s="112">
        <f>IF(G38=0,"",SUM(N35:N36))</f>
      </c>
    </row>
    <row r="38" spans="1:14" ht="19.5" customHeight="1">
      <c r="A38" s="1"/>
      <c r="B38" s="183" t="s">
        <v>45</v>
      </c>
      <c r="C38" s="183"/>
      <c r="D38" s="183"/>
      <c r="E38" s="183"/>
      <c r="F38" s="183"/>
      <c r="G38" s="113">
        <v>0</v>
      </c>
      <c r="H38" s="1"/>
      <c r="M38" s="111"/>
      <c r="N38" s="114" t="s">
        <v>55</v>
      </c>
    </row>
    <row r="39" spans="1:14" ht="19.5" customHeight="1">
      <c r="A39" s="1"/>
      <c r="B39" s="1"/>
      <c r="C39" s="1"/>
      <c r="D39" s="1"/>
      <c r="E39" s="1"/>
      <c r="F39" s="1"/>
      <c r="G39" s="1"/>
      <c r="H39" s="1"/>
      <c r="I39" s="115" t="s">
        <v>46</v>
      </c>
      <c r="J39" s="29"/>
      <c r="K39" s="29"/>
      <c r="L39" s="29"/>
      <c r="M39" s="29"/>
      <c r="N39" s="29"/>
    </row>
    <row r="40" spans="1:17" ht="12.75">
      <c r="A40" s="2"/>
      <c r="B40" s="2"/>
      <c r="C40" s="2"/>
      <c r="D40" s="2"/>
      <c r="E40" s="2"/>
      <c r="F40" s="2"/>
      <c r="H40" s="2"/>
      <c r="P40" s="116"/>
      <c r="Q40" s="116"/>
    </row>
    <row r="41" ht="28.5" customHeight="1">
      <c r="H41" s="2"/>
    </row>
    <row r="42" ht="12.75">
      <c r="H42" s="2"/>
    </row>
    <row r="61" spans="2:7" ht="12.75">
      <c r="B61" s="11"/>
      <c r="C61" s="11"/>
      <c r="G61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8:F38"/>
    <mergeCell ref="I11:N11"/>
    <mergeCell ref="I18:N18"/>
    <mergeCell ref="I19:N19"/>
    <mergeCell ref="I30:L30"/>
    <mergeCell ref="M30:N30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El Salvador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246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39848</v>
      </c>
      <c r="J13" s="119">
        <v>39906</v>
      </c>
      <c r="K13" s="44">
        <f>+J13-I13+1</f>
        <v>59</v>
      </c>
      <c r="L13" s="129">
        <v>2.25</v>
      </c>
      <c r="M13" s="130">
        <f>ROUND(K13*L13,2)</f>
        <v>132.75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40002</v>
      </c>
      <c r="J14" s="119">
        <v>40059</v>
      </c>
      <c r="K14" s="44">
        <f>+J14-I14+1</f>
        <v>58</v>
      </c>
      <c r="L14" s="129">
        <v>2.25</v>
      </c>
      <c r="M14" s="130">
        <f>ROUND(K14*L14,2)</f>
        <v>130.5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$"&amp;ROUND(SUM(B21:B22),2)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50</v>
      </c>
      <c r="J21" s="121" t="s">
        <v>28</v>
      </c>
      <c r="K21" s="125">
        <v>450</v>
      </c>
      <c r="L21" s="122">
        <v>0.35</v>
      </c>
      <c r="M21" s="126">
        <f>ROUND(K21*L21,2)</f>
        <v>157.5</v>
      </c>
      <c r="N21" s="75" t="str">
        <f>IF($G21=0,"----",M21*$G21)</f>
        <v>----</v>
      </c>
    </row>
    <row r="22" spans="1:14" ht="15" customHeight="1" thickBo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62</v>
      </c>
      <c r="J22" s="121" t="s">
        <v>28</v>
      </c>
      <c r="K22" s="125">
        <v>300</v>
      </c>
      <c r="L22" s="122">
        <v>0.35</v>
      </c>
      <c r="M22" s="126">
        <f>ROUND(K22*L22,2)</f>
        <v>105</v>
      </c>
      <c r="N22" s="75" t="str">
        <f>IF($G22=0,"----",M22*$G22)</f>
        <v>----</v>
      </c>
    </row>
    <row r="23" spans="1:16" ht="20.25" customHeight="1" thickBot="1">
      <c r="A23" s="1"/>
      <c r="B23" s="78">
        <f>SUM(B21:B22)</f>
        <v>0</v>
      </c>
      <c r="C23" s="79"/>
      <c r="D23" s="79"/>
      <c r="E23" s="79"/>
      <c r="F23" s="79"/>
      <c r="G23" s="79"/>
      <c r="H23" s="1"/>
      <c r="I23" s="80"/>
      <c r="J23" s="52"/>
      <c r="K23" s="81"/>
      <c r="L23" s="82"/>
      <c r="M23" s="54" t="s">
        <v>29</v>
      </c>
      <c r="N23" s="83" t="str">
        <f>IF(SUM(N21:N22)=0,"----",SUM((N21:N22)))</f>
        <v>----</v>
      </c>
      <c r="P23" s="84"/>
    </row>
    <row r="24" spans="1:14" ht="15" customHeight="1" thickBot="1">
      <c r="A24" s="1"/>
      <c r="B24" s="79"/>
      <c r="C24" s="79"/>
      <c r="D24" s="79"/>
      <c r="E24" s="79"/>
      <c r="F24" s="79"/>
      <c r="H24" s="1"/>
      <c r="I24" s="85"/>
      <c r="J24" s="21"/>
      <c r="K24" s="86"/>
      <c r="L24" s="87"/>
      <c r="M24" s="23"/>
      <c r="N24" s="23"/>
    </row>
    <row r="25" spans="1:17" ht="25.5" customHeight="1">
      <c r="A25" s="1"/>
      <c r="B25" s="71"/>
      <c r="C25" s="2"/>
      <c r="D25" s="2"/>
      <c r="E25" s="2"/>
      <c r="F25" s="71"/>
      <c r="H25" s="1"/>
      <c r="I25" s="24" t="s">
        <v>30</v>
      </c>
      <c r="J25" s="25"/>
      <c r="K25" s="88"/>
      <c r="L25" s="89"/>
      <c r="M25" s="90" t="s">
        <v>31</v>
      </c>
      <c r="N25" s="26"/>
      <c r="P25" s="91"/>
      <c r="Q25" s="3"/>
    </row>
    <row r="26" spans="1:17" ht="28.5" customHeight="1">
      <c r="A26" s="1"/>
      <c r="B26" s="92" t="s">
        <v>32</v>
      </c>
      <c r="C26" s="93"/>
      <c r="D26" s="93"/>
      <c r="E26" s="94"/>
      <c r="F26" s="71"/>
      <c r="G26" s="95" t="s">
        <v>33</v>
      </c>
      <c r="H26" s="1"/>
      <c r="I26" s="175" t="s">
        <v>34</v>
      </c>
      <c r="J26" s="186"/>
      <c r="K26" s="186"/>
      <c r="L26" s="186"/>
      <c r="M26" s="184" t="s">
        <v>35</v>
      </c>
      <c r="N26" s="185"/>
      <c r="P26" s="3"/>
      <c r="Q26" s="3"/>
    </row>
    <row r="27" spans="1:17" ht="45" customHeight="1">
      <c r="A27" s="1"/>
      <c r="B27" s="67" t="s">
        <v>18</v>
      </c>
      <c r="C27" s="67" t="s">
        <v>36</v>
      </c>
      <c r="D27" s="67" t="s">
        <v>37</v>
      </c>
      <c r="E27" s="67" t="s">
        <v>38</v>
      </c>
      <c r="G27" s="67" t="s">
        <v>39</v>
      </c>
      <c r="H27" s="1"/>
      <c r="I27" s="96" t="s">
        <v>27</v>
      </c>
      <c r="J27" s="97" t="s">
        <v>56</v>
      </c>
      <c r="K27" s="3"/>
      <c r="L27" s="3"/>
      <c r="M27" s="36" t="s">
        <v>40</v>
      </c>
      <c r="N27" s="37" t="s">
        <v>56</v>
      </c>
      <c r="Q27" s="3"/>
    </row>
    <row r="28" spans="1:17" ht="15" customHeight="1" thickBot="1">
      <c r="A28" s="1"/>
      <c r="B28" s="98">
        <f>SUM(C21:C22)</f>
        <v>0</v>
      </c>
      <c r="C28" s="98">
        <f>COUNTIF(D21:F22,"&gt;=16")</f>
        <v>0</v>
      </c>
      <c r="D28" s="98">
        <f>(COUNTIF(D21:F22,"&gt;0")-C28)/2</f>
        <v>0</v>
      </c>
      <c r="E28" s="98">
        <f>SUM(B28:D28)</f>
        <v>0</v>
      </c>
      <c r="G28" s="99">
        <v>0</v>
      </c>
      <c r="H28" s="1"/>
      <c r="I28" s="100">
        <v>24</v>
      </c>
      <c r="J28" s="101" t="str">
        <f>IF(E28*I28=0,"----",E28*I28)</f>
        <v>----</v>
      </c>
      <c r="K28" s="3"/>
      <c r="L28" s="3"/>
      <c r="M28" s="102">
        <v>12</v>
      </c>
      <c r="N28" s="76" t="str">
        <f>IF($G28=0,"----",M28*$G28)</f>
        <v>----</v>
      </c>
      <c r="Q28" s="3"/>
    </row>
    <row r="29" spans="1:17" ht="15" customHeight="1" thickBot="1">
      <c r="A29" s="1"/>
      <c r="B29" s="12"/>
      <c r="C29" s="12"/>
      <c r="D29" s="12"/>
      <c r="E29" s="103"/>
      <c r="F29" s="12"/>
      <c r="G29" s="12"/>
      <c r="H29" s="1"/>
      <c r="I29" s="104"/>
      <c r="J29" s="105"/>
      <c r="K29" s="105"/>
      <c r="L29" s="106"/>
      <c r="M29" s="54" t="s">
        <v>41</v>
      </c>
      <c r="N29" s="83" t="str">
        <f>IF(SUM(J28,N28)=0,"----",SUM((J28,N28)))</f>
        <v>----</v>
      </c>
      <c r="Q29" s="3"/>
    </row>
    <row r="30" spans="1:15" s="12" customFormat="1" ht="15" customHeight="1">
      <c r="A30" s="5"/>
      <c r="E30" s="2"/>
      <c r="F30" s="2"/>
      <c r="H30" s="5"/>
      <c r="I30" s="2"/>
      <c r="J30" s="2"/>
      <c r="K30" s="2"/>
      <c r="L30" s="2"/>
      <c r="M30" s="2"/>
      <c r="N30" s="2"/>
      <c r="O30" s="11"/>
    </row>
    <row r="31" spans="1:15" s="12" customFormat="1" ht="20.25" customHeight="1">
      <c r="A31" s="5"/>
      <c r="H31" s="5"/>
      <c r="I31" s="2"/>
      <c r="J31" s="2"/>
      <c r="K31" s="2"/>
      <c r="L31" s="2"/>
      <c r="M31" s="23" t="s">
        <v>42</v>
      </c>
      <c r="N31" s="107">
        <f>SUM(N15,N23,N29)</f>
        <v>0</v>
      </c>
      <c r="O31" s="11"/>
    </row>
    <row r="32" spans="1:14" ht="15.75" thickBot="1">
      <c r="A32" s="1"/>
      <c r="B32" s="2"/>
      <c r="C32" s="2"/>
      <c r="D32" s="2"/>
      <c r="E32" s="2"/>
      <c r="F32" s="2"/>
      <c r="H32" s="1"/>
      <c r="M32" s="23" t="s">
        <v>43</v>
      </c>
      <c r="N32" s="107">
        <f>IF(G34=0,"",G34)</f>
      </c>
    </row>
    <row r="33" spans="1:14" ht="19.5" customHeight="1" thickBot="1">
      <c r="A33" s="1"/>
      <c r="B33" s="108" t="s">
        <v>44</v>
      </c>
      <c r="C33" s="109"/>
      <c r="D33" s="109"/>
      <c r="E33" s="109"/>
      <c r="F33" s="109"/>
      <c r="G33" s="110"/>
      <c r="H33" s="1"/>
      <c r="M33" s="111" t="s">
        <v>54</v>
      </c>
      <c r="N33" s="112">
        <f>IF(G34=0,"",SUM(N31:N32))</f>
      </c>
    </row>
    <row r="34" spans="1:14" ht="19.5" customHeight="1">
      <c r="A34" s="1"/>
      <c r="B34" s="183" t="s">
        <v>45</v>
      </c>
      <c r="C34" s="183"/>
      <c r="D34" s="183"/>
      <c r="E34" s="183"/>
      <c r="F34" s="183"/>
      <c r="G34" s="113">
        <v>0</v>
      </c>
      <c r="H34" s="1"/>
      <c r="M34" s="111"/>
      <c r="N34" s="114" t="s">
        <v>55</v>
      </c>
    </row>
    <row r="35" spans="1:14" ht="19.5" customHeight="1">
      <c r="A35" s="1"/>
      <c r="B35" s="1"/>
      <c r="C35" s="1"/>
      <c r="D35" s="1"/>
      <c r="E35" s="1"/>
      <c r="F35" s="1"/>
      <c r="G35" s="1"/>
      <c r="H35" s="1"/>
      <c r="I35" s="115" t="s">
        <v>46</v>
      </c>
      <c r="J35" s="29"/>
      <c r="K35" s="29"/>
      <c r="L35" s="29"/>
      <c r="M35" s="29"/>
      <c r="N35" s="29"/>
    </row>
    <row r="36" spans="1:17" ht="12.75">
      <c r="A36" s="2"/>
      <c r="B36" s="2"/>
      <c r="C36" s="2"/>
      <c r="D36" s="2"/>
      <c r="E36" s="2"/>
      <c r="F36" s="2"/>
      <c r="H36" s="2"/>
      <c r="P36" s="116"/>
      <c r="Q36" s="116"/>
    </row>
    <row r="37" ht="28.5" customHeight="1">
      <c r="H37" s="2"/>
    </row>
    <row r="38" ht="12.75">
      <c r="H38" s="2"/>
    </row>
    <row r="57" spans="2:7" ht="12.75">
      <c r="B57" s="11"/>
      <c r="C57" s="11"/>
      <c r="G57" s="12"/>
    </row>
  </sheetData>
  <sheetProtection/>
  <mergeCells count="14">
    <mergeCell ref="B34:F34"/>
    <mergeCell ref="C8:D8"/>
    <mergeCell ref="E8:G8"/>
    <mergeCell ref="I11:N11"/>
    <mergeCell ref="I18:N18"/>
    <mergeCell ref="I19:N19"/>
    <mergeCell ref="I26:L26"/>
    <mergeCell ref="M26:N26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Q5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Ethiopia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213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39814</v>
      </c>
      <c r="J13" s="119">
        <v>39857</v>
      </c>
      <c r="K13" s="44">
        <f>+J13-I13+1</f>
        <v>44</v>
      </c>
      <c r="L13" s="129">
        <v>1.36</v>
      </c>
      <c r="M13" s="130">
        <f>ROUND(K13*L13,2)</f>
        <v>59.84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40093</v>
      </c>
      <c r="J14" s="119">
        <v>40165</v>
      </c>
      <c r="K14" s="44">
        <f>+J14-I14+1</f>
        <v>73</v>
      </c>
      <c r="L14" s="129">
        <v>1.36</v>
      </c>
      <c r="M14" s="130">
        <f>ROUND(K14*L14,2)</f>
        <v>99.28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$"&amp;ROUND(SUM(B21:B24),2)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138</v>
      </c>
      <c r="K21" s="125">
        <v>164.27</v>
      </c>
      <c r="L21" s="122">
        <v>0.14</v>
      </c>
      <c r="M21" s="126">
        <f>ROUND(K21*L21,2)</f>
        <v>23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219</v>
      </c>
      <c r="J22" s="121" t="s">
        <v>91</v>
      </c>
      <c r="K22" s="125">
        <v>164.27</v>
      </c>
      <c r="L22" s="122">
        <v>0.15</v>
      </c>
      <c r="M22" s="126">
        <f>ROUND(K22*L22,2)</f>
        <v>24.64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220</v>
      </c>
      <c r="J23" s="121" t="s">
        <v>91</v>
      </c>
      <c r="K23" s="125">
        <v>166.36</v>
      </c>
      <c r="L23" s="122">
        <v>0.15</v>
      </c>
      <c r="M23" s="126">
        <f>ROUND(K23*L23,2)</f>
        <v>24.95</v>
      </c>
      <c r="N23" s="75" t="str">
        <f>IF($G23=0,"----",M23*$G23)</f>
        <v>----</v>
      </c>
    </row>
    <row r="24" spans="1:14" ht="15" customHeight="1" thickBo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24" t="s">
        <v>124</v>
      </c>
      <c r="J24" s="121" t="s">
        <v>91</v>
      </c>
      <c r="K24" s="125">
        <v>198.09</v>
      </c>
      <c r="L24" s="122">
        <v>0.15</v>
      </c>
      <c r="M24" s="126">
        <f>ROUND(K24*L24,2)</f>
        <v>29.71</v>
      </c>
      <c r="N24" s="75" t="str">
        <f>IF($G24=0,"----",M24*$G24)</f>
        <v>----</v>
      </c>
    </row>
    <row r="25" spans="1:16" ht="20.25" customHeight="1" thickBot="1">
      <c r="A25" s="1"/>
      <c r="B25" s="78">
        <f>SUM(B21:B24)</f>
        <v>0</v>
      </c>
      <c r="C25" s="79"/>
      <c r="D25" s="79"/>
      <c r="E25" s="79"/>
      <c r="F25" s="79"/>
      <c r="G25" s="79"/>
      <c r="H25" s="1"/>
      <c r="I25" s="80"/>
      <c r="J25" s="52"/>
      <c r="K25" s="81"/>
      <c r="L25" s="82"/>
      <c r="M25" s="54" t="s">
        <v>29</v>
      </c>
      <c r="N25" s="83" t="str">
        <f>IF(SUM(N21:N24)=0,"----",SUM((N21:N24)))</f>
        <v>----</v>
      </c>
      <c r="P25" s="84"/>
    </row>
    <row r="26" spans="1:14" ht="15" customHeight="1" thickBot="1">
      <c r="A26" s="1"/>
      <c r="B26" s="79"/>
      <c r="C26" s="79"/>
      <c r="D26" s="79"/>
      <c r="E26" s="79"/>
      <c r="F26" s="79"/>
      <c r="H26" s="1"/>
      <c r="I26" s="85"/>
      <c r="J26" s="21"/>
      <c r="K26" s="86"/>
      <c r="L26" s="87"/>
      <c r="M26" s="23"/>
      <c r="N26" s="23"/>
    </row>
    <row r="27" spans="1:17" ht="25.5" customHeight="1">
      <c r="A27" s="1"/>
      <c r="B27" s="71"/>
      <c r="C27" s="2"/>
      <c r="D27" s="2"/>
      <c r="E27" s="2"/>
      <c r="F27" s="71"/>
      <c r="H27" s="1"/>
      <c r="I27" s="24" t="s">
        <v>30</v>
      </c>
      <c r="J27" s="25"/>
      <c r="K27" s="88"/>
      <c r="L27" s="89"/>
      <c r="M27" s="90" t="s">
        <v>31</v>
      </c>
      <c r="N27" s="26"/>
      <c r="P27" s="91"/>
      <c r="Q27" s="3"/>
    </row>
    <row r="28" spans="1:17" ht="28.5" customHeight="1">
      <c r="A28" s="1"/>
      <c r="B28" s="92" t="s">
        <v>32</v>
      </c>
      <c r="C28" s="93"/>
      <c r="D28" s="93"/>
      <c r="E28" s="94"/>
      <c r="F28" s="71"/>
      <c r="G28" s="95" t="s">
        <v>33</v>
      </c>
      <c r="H28" s="1"/>
      <c r="I28" s="175" t="s">
        <v>34</v>
      </c>
      <c r="J28" s="186"/>
      <c r="K28" s="186"/>
      <c r="L28" s="186"/>
      <c r="M28" s="184" t="s">
        <v>35</v>
      </c>
      <c r="N28" s="185"/>
      <c r="P28" s="3"/>
      <c r="Q28" s="3"/>
    </row>
    <row r="29" spans="1:17" ht="45" customHeight="1">
      <c r="A29" s="1"/>
      <c r="B29" s="67" t="s">
        <v>18</v>
      </c>
      <c r="C29" s="67" t="s">
        <v>36</v>
      </c>
      <c r="D29" s="67" t="s">
        <v>37</v>
      </c>
      <c r="E29" s="67" t="s">
        <v>38</v>
      </c>
      <c r="G29" s="67" t="s">
        <v>39</v>
      </c>
      <c r="H29" s="1"/>
      <c r="I29" s="96" t="s">
        <v>27</v>
      </c>
      <c r="J29" s="97" t="s">
        <v>56</v>
      </c>
      <c r="K29" s="3"/>
      <c r="L29" s="3"/>
      <c r="M29" s="36" t="s">
        <v>40</v>
      </c>
      <c r="N29" s="37" t="s">
        <v>56</v>
      </c>
      <c r="Q29" s="3"/>
    </row>
    <row r="30" spans="1:17" ht="15" customHeight="1" thickBot="1">
      <c r="A30" s="1"/>
      <c r="B30" s="98">
        <f>SUM(C21:C24)</f>
        <v>0</v>
      </c>
      <c r="C30" s="98">
        <f>COUNTIF(D21:F24,"&gt;=16")</f>
        <v>0</v>
      </c>
      <c r="D30" s="98">
        <f>(COUNTIF(D21:F24,"&gt;0")-C30)/2</f>
        <v>0</v>
      </c>
      <c r="E30" s="98">
        <f>SUM(B30:D30)</f>
        <v>0</v>
      </c>
      <c r="G30" s="99">
        <v>0</v>
      </c>
      <c r="H30" s="1"/>
      <c r="I30" s="100">
        <v>24</v>
      </c>
      <c r="J30" s="101" t="str">
        <f>IF(E30*I30=0,"----",E30*I30)</f>
        <v>----</v>
      </c>
      <c r="K30" s="3"/>
      <c r="L30" s="3"/>
      <c r="M30" s="102">
        <v>12</v>
      </c>
      <c r="N30" s="76" t="str">
        <f>IF($G30=0,"----",M30*$G30)</f>
        <v>----</v>
      </c>
      <c r="Q30" s="3"/>
    </row>
    <row r="31" spans="1:17" ht="15" customHeight="1" thickBot="1">
      <c r="A31" s="1"/>
      <c r="B31" s="12"/>
      <c r="C31" s="12"/>
      <c r="D31" s="12"/>
      <c r="E31" s="103"/>
      <c r="F31" s="12"/>
      <c r="G31" s="12"/>
      <c r="H31" s="1"/>
      <c r="I31" s="104"/>
      <c r="J31" s="105"/>
      <c r="K31" s="105"/>
      <c r="L31" s="106"/>
      <c r="M31" s="54" t="s">
        <v>41</v>
      </c>
      <c r="N31" s="83" t="str">
        <f>IF(SUM(J30,N30)=0,"----",SUM((J30,N30)))</f>
        <v>----</v>
      </c>
      <c r="Q31" s="3"/>
    </row>
    <row r="32" spans="1:15" s="12" customFormat="1" ht="15" customHeight="1">
      <c r="A32" s="5"/>
      <c r="E32" s="2"/>
      <c r="F32" s="2"/>
      <c r="H32" s="5"/>
      <c r="I32" s="2"/>
      <c r="J32" s="2"/>
      <c r="K32" s="2"/>
      <c r="L32" s="2"/>
      <c r="M32" s="2"/>
      <c r="N32" s="2"/>
      <c r="O32" s="11"/>
    </row>
    <row r="33" spans="1:15" s="12" customFormat="1" ht="20.25" customHeight="1">
      <c r="A33" s="5"/>
      <c r="H33" s="5"/>
      <c r="I33" s="2"/>
      <c r="J33" s="2"/>
      <c r="K33" s="2"/>
      <c r="L33" s="2"/>
      <c r="M33" s="23" t="s">
        <v>42</v>
      </c>
      <c r="N33" s="107">
        <f>SUM(N15,N25,N31)</f>
        <v>0</v>
      </c>
      <c r="O33" s="11"/>
    </row>
    <row r="34" spans="1:14" ht="15.75" thickBot="1">
      <c r="A34" s="1"/>
      <c r="B34" s="2"/>
      <c r="C34" s="2"/>
      <c r="D34" s="2"/>
      <c r="E34" s="2"/>
      <c r="F34" s="2"/>
      <c r="H34" s="1"/>
      <c r="M34" s="23" t="s">
        <v>43</v>
      </c>
      <c r="N34" s="107">
        <f>IF(G36=0,"",G36)</f>
      </c>
    </row>
    <row r="35" spans="1:14" ht="19.5" customHeight="1" thickBot="1">
      <c r="A35" s="1"/>
      <c r="B35" s="108" t="s">
        <v>44</v>
      </c>
      <c r="C35" s="109"/>
      <c r="D35" s="109"/>
      <c r="E35" s="109"/>
      <c r="F35" s="109"/>
      <c r="G35" s="110"/>
      <c r="H35" s="1"/>
      <c r="M35" s="111" t="s">
        <v>54</v>
      </c>
      <c r="N35" s="112">
        <f>IF(G36=0,"",SUM(N33:N34))</f>
      </c>
    </row>
    <row r="36" spans="1:14" ht="19.5" customHeight="1">
      <c r="A36" s="1"/>
      <c r="B36" s="183" t="s">
        <v>45</v>
      </c>
      <c r="C36" s="183"/>
      <c r="D36" s="183"/>
      <c r="E36" s="183"/>
      <c r="F36" s="183"/>
      <c r="G36" s="113">
        <v>0</v>
      </c>
      <c r="H36" s="1"/>
      <c r="M36" s="111"/>
      <c r="N36" s="114" t="s">
        <v>55</v>
      </c>
    </row>
    <row r="37" spans="1:14" ht="19.5" customHeight="1">
      <c r="A37" s="1"/>
      <c r="B37" s="1"/>
      <c r="C37" s="1"/>
      <c r="D37" s="1"/>
      <c r="E37" s="1"/>
      <c r="F37" s="1"/>
      <c r="G37" s="1"/>
      <c r="H37" s="1"/>
      <c r="I37" s="115" t="s">
        <v>46</v>
      </c>
      <c r="J37" s="29"/>
      <c r="K37" s="29"/>
      <c r="L37" s="29"/>
      <c r="M37" s="29"/>
      <c r="N37" s="29"/>
    </row>
    <row r="38" spans="1:17" ht="12.75">
      <c r="A38" s="2"/>
      <c r="B38" s="2"/>
      <c r="C38" s="2"/>
      <c r="D38" s="2"/>
      <c r="E38" s="2"/>
      <c r="F38" s="2"/>
      <c r="H38" s="2"/>
      <c r="P38" s="116"/>
      <c r="Q38" s="116"/>
    </row>
    <row r="39" ht="28.5" customHeight="1">
      <c r="H39" s="2"/>
    </row>
    <row r="40" ht="12.75">
      <c r="H40" s="2"/>
    </row>
    <row r="59" spans="2:7" ht="12.75">
      <c r="B59" s="11"/>
      <c r="C59" s="11"/>
      <c r="G59" s="12"/>
    </row>
  </sheetData>
  <sheetProtection/>
  <mergeCells count="14">
    <mergeCell ref="B36:F36"/>
    <mergeCell ref="I11:N11"/>
    <mergeCell ref="I18:N18"/>
    <mergeCell ref="I19:N19"/>
    <mergeCell ref="I28:L28"/>
    <mergeCell ref="M28:N28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6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Fiji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204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39954</v>
      </c>
      <c r="J13" s="119">
        <v>40017</v>
      </c>
      <c r="K13" s="44">
        <f>+J13-I13+1</f>
        <v>64</v>
      </c>
      <c r="L13" s="129">
        <v>3.29</v>
      </c>
      <c r="M13" s="130">
        <f>ROUND(K13*L13,2)</f>
        <v>210.56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$"&amp;ROUND(SUM(B20:B25),2)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 aca="true" t="shared" si="0" ref="B20:B25"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 aca="true" t="shared" si="1" ref="G20:G25">C20+D20/29+E20/30+F20/31</f>
        <v>0</v>
      </c>
      <c r="H20" s="1"/>
      <c r="I20" s="124" t="s">
        <v>50</v>
      </c>
      <c r="J20" s="121" t="s">
        <v>223</v>
      </c>
      <c r="K20" s="125">
        <v>378.04</v>
      </c>
      <c r="L20" s="122">
        <v>0.15</v>
      </c>
      <c r="M20" s="126">
        <f aca="true" t="shared" si="2" ref="M20:M25">ROUND(K20*L20,2)</f>
        <v>56.71</v>
      </c>
      <c r="N20" s="75" t="str">
        <f aca="true" t="shared" si="3" ref="N20:N25">IF($G20=0,"----",M20*$G20)</f>
        <v>----</v>
      </c>
    </row>
    <row r="21" spans="1:14" ht="15" customHeight="1">
      <c r="A21" s="1"/>
      <c r="B21" s="72" t="str">
        <f t="shared" si="0"/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t="shared" si="1"/>
        <v>0</v>
      </c>
      <c r="H21" s="1"/>
      <c r="I21" s="124" t="s">
        <v>235</v>
      </c>
      <c r="J21" s="121" t="s">
        <v>223</v>
      </c>
      <c r="K21" s="125">
        <v>328.73</v>
      </c>
      <c r="L21" s="122">
        <v>0.15</v>
      </c>
      <c r="M21" s="126">
        <f t="shared" si="2"/>
        <v>49.31</v>
      </c>
      <c r="N21" s="75" t="str">
        <f t="shared" si="3"/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24" t="s">
        <v>62</v>
      </c>
      <c r="J22" s="121" t="s">
        <v>223</v>
      </c>
      <c r="K22" s="125">
        <v>328.73</v>
      </c>
      <c r="L22" s="122">
        <v>0.15</v>
      </c>
      <c r="M22" s="126">
        <f t="shared" si="2"/>
        <v>49.31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24" t="s">
        <v>50</v>
      </c>
      <c r="J23" s="121" t="s">
        <v>186</v>
      </c>
      <c r="K23" s="125">
        <v>318.21</v>
      </c>
      <c r="L23" s="122">
        <v>0.23</v>
      </c>
      <c r="M23" s="126">
        <f t="shared" si="2"/>
        <v>73.19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24" t="s">
        <v>235</v>
      </c>
      <c r="J24" s="121" t="s">
        <v>186</v>
      </c>
      <c r="K24" s="125">
        <v>276.7</v>
      </c>
      <c r="L24" s="122">
        <v>0.23</v>
      </c>
      <c r="M24" s="126">
        <f t="shared" si="2"/>
        <v>63.64</v>
      </c>
      <c r="N24" s="75" t="str">
        <f t="shared" si="3"/>
        <v>----</v>
      </c>
    </row>
    <row r="25" spans="1:14" ht="15" customHeight="1" thickBo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24" t="s">
        <v>62</v>
      </c>
      <c r="J25" s="121" t="s">
        <v>186</v>
      </c>
      <c r="K25" s="125">
        <v>276.7</v>
      </c>
      <c r="L25" s="122">
        <v>0.23</v>
      </c>
      <c r="M25" s="126">
        <f t="shared" si="2"/>
        <v>63.64</v>
      </c>
      <c r="N25" s="75" t="str">
        <f t="shared" si="3"/>
        <v>----</v>
      </c>
    </row>
    <row r="26" spans="1:16" ht="20.25" customHeight="1" thickBot="1">
      <c r="A26" s="1"/>
      <c r="B26" s="78">
        <f>SUM(B20:B25)</f>
        <v>0</v>
      </c>
      <c r="C26" s="79"/>
      <c r="D26" s="79"/>
      <c r="E26" s="79"/>
      <c r="F26" s="79"/>
      <c r="G26" s="79"/>
      <c r="H26" s="1"/>
      <c r="I26" s="80"/>
      <c r="J26" s="52"/>
      <c r="K26" s="81"/>
      <c r="L26" s="82"/>
      <c r="M26" s="54" t="s">
        <v>29</v>
      </c>
      <c r="N26" s="83" t="str">
        <f>IF(SUM(N20:N25)=0,"----",SUM((N20:N25)))</f>
        <v>----</v>
      </c>
      <c r="P26" s="84"/>
    </row>
    <row r="27" spans="1:14" ht="15" customHeight="1" thickBot="1">
      <c r="A27" s="1"/>
      <c r="B27" s="79"/>
      <c r="C27" s="79"/>
      <c r="D27" s="79"/>
      <c r="E27" s="79"/>
      <c r="F27" s="79"/>
      <c r="H27" s="1"/>
      <c r="I27" s="85"/>
      <c r="J27" s="21"/>
      <c r="K27" s="86"/>
      <c r="L27" s="87"/>
      <c r="M27" s="23"/>
      <c r="N27" s="23"/>
    </row>
    <row r="28" spans="1:17" ht="25.5" customHeight="1">
      <c r="A28" s="1"/>
      <c r="B28" s="71"/>
      <c r="C28" s="2"/>
      <c r="D28" s="2"/>
      <c r="E28" s="2"/>
      <c r="F28" s="71"/>
      <c r="H28" s="1"/>
      <c r="I28" s="24" t="s">
        <v>30</v>
      </c>
      <c r="J28" s="25"/>
      <c r="K28" s="88"/>
      <c r="L28" s="89"/>
      <c r="M28" s="90" t="s">
        <v>31</v>
      </c>
      <c r="N28" s="26"/>
      <c r="P28" s="91"/>
      <c r="Q28" s="3"/>
    </row>
    <row r="29" spans="1:17" ht="28.5" customHeight="1">
      <c r="A29" s="1"/>
      <c r="B29" s="92" t="s">
        <v>32</v>
      </c>
      <c r="C29" s="93"/>
      <c r="D29" s="93"/>
      <c r="E29" s="94"/>
      <c r="F29" s="71"/>
      <c r="G29" s="95" t="s">
        <v>33</v>
      </c>
      <c r="H29" s="1"/>
      <c r="I29" s="175" t="s">
        <v>34</v>
      </c>
      <c r="J29" s="186"/>
      <c r="K29" s="186"/>
      <c r="L29" s="186"/>
      <c r="M29" s="184" t="s">
        <v>35</v>
      </c>
      <c r="N29" s="185"/>
      <c r="P29" s="3"/>
      <c r="Q29" s="3"/>
    </row>
    <row r="30" spans="1:17" ht="45" customHeight="1">
      <c r="A30" s="1"/>
      <c r="B30" s="67" t="s">
        <v>18</v>
      </c>
      <c r="C30" s="67" t="s">
        <v>36</v>
      </c>
      <c r="D30" s="67" t="s">
        <v>37</v>
      </c>
      <c r="E30" s="67" t="s">
        <v>38</v>
      </c>
      <c r="G30" s="67" t="s">
        <v>39</v>
      </c>
      <c r="H30" s="1"/>
      <c r="I30" s="96" t="s">
        <v>27</v>
      </c>
      <c r="J30" s="97" t="s">
        <v>56</v>
      </c>
      <c r="K30" s="3"/>
      <c r="L30" s="3"/>
      <c r="M30" s="36" t="s">
        <v>40</v>
      </c>
      <c r="N30" s="37" t="s">
        <v>56</v>
      </c>
      <c r="Q30" s="3"/>
    </row>
    <row r="31" spans="1:17" ht="15" customHeight="1" thickBot="1">
      <c r="A31" s="1"/>
      <c r="B31" s="98">
        <f>SUM(C20:C25)</f>
        <v>0</v>
      </c>
      <c r="C31" s="98">
        <f>COUNTIF(D20:F25,"&gt;=16")</f>
        <v>0</v>
      </c>
      <c r="D31" s="98">
        <f>(COUNTIF(D20:F25,"&gt;0")-C31)/2</f>
        <v>0</v>
      </c>
      <c r="E31" s="98">
        <f>SUM(B31:D31)</f>
        <v>0</v>
      </c>
      <c r="G31" s="99">
        <v>0</v>
      </c>
      <c r="H31" s="1"/>
      <c r="I31" s="100">
        <v>24</v>
      </c>
      <c r="J31" s="101" t="str">
        <f>IF(E31*I31=0,"----",E31*I31)</f>
        <v>----</v>
      </c>
      <c r="K31" s="3"/>
      <c r="L31" s="3"/>
      <c r="M31" s="102">
        <v>12</v>
      </c>
      <c r="N31" s="76" t="str">
        <f>IF($G31=0,"----",M31*$G31)</f>
        <v>----</v>
      </c>
      <c r="Q31" s="3"/>
    </row>
    <row r="32" spans="1:17" ht="15" customHeight="1" thickBot="1">
      <c r="A32" s="1"/>
      <c r="B32" s="12"/>
      <c r="C32" s="12"/>
      <c r="D32" s="12"/>
      <c r="E32" s="103"/>
      <c r="F32" s="12"/>
      <c r="G32" s="12"/>
      <c r="H32" s="1"/>
      <c r="I32" s="104"/>
      <c r="J32" s="105"/>
      <c r="K32" s="105"/>
      <c r="L32" s="106"/>
      <c r="M32" s="54" t="s">
        <v>41</v>
      </c>
      <c r="N32" s="83" t="str">
        <f>IF(SUM(J31,N31)=0,"----",SUM((J31,N31)))</f>
        <v>----</v>
      </c>
      <c r="Q32" s="3"/>
    </row>
    <row r="33" spans="1:15" s="12" customFormat="1" ht="15" customHeight="1">
      <c r="A33" s="5"/>
      <c r="E33" s="2"/>
      <c r="F33" s="2"/>
      <c r="H33" s="5"/>
      <c r="I33" s="2"/>
      <c r="J33" s="2"/>
      <c r="K33" s="2"/>
      <c r="L33" s="2"/>
      <c r="M33" s="2"/>
      <c r="N33" s="2"/>
      <c r="O33" s="11"/>
    </row>
    <row r="34" spans="1:15" s="12" customFormat="1" ht="20.25" customHeight="1">
      <c r="A34" s="5"/>
      <c r="H34" s="5"/>
      <c r="I34" s="2"/>
      <c r="J34" s="2"/>
      <c r="K34" s="2"/>
      <c r="L34" s="2"/>
      <c r="M34" s="23" t="s">
        <v>42</v>
      </c>
      <c r="N34" s="107">
        <f>SUM(N14,N26,N32)</f>
        <v>0</v>
      </c>
      <c r="O34" s="11"/>
    </row>
    <row r="35" spans="1:14" ht="15.75" thickBot="1">
      <c r="A35" s="1"/>
      <c r="B35" s="2"/>
      <c r="C35" s="2"/>
      <c r="D35" s="2"/>
      <c r="E35" s="2"/>
      <c r="F35" s="2"/>
      <c r="H35" s="1"/>
      <c r="M35" s="23" t="s">
        <v>43</v>
      </c>
      <c r="N35" s="107">
        <f>IF(G37=0,"",G37)</f>
      </c>
    </row>
    <row r="36" spans="1:14" ht="19.5" customHeight="1" thickBot="1">
      <c r="A36" s="1"/>
      <c r="B36" s="108" t="s">
        <v>44</v>
      </c>
      <c r="C36" s="109"/>
      <c r="D36" s="109"/>
      <c r="E36" s="109"/>
      <c r="F36" s="109"/>
      <c r="G36" s="110"/>
      <c r="H36" s="1"/>
      <c r="M36" s="111" t="s">
        <v>54</v>
      </c>
      <c r="N36" s="112">
        <f>IF(G37=0,"",SUM(N34:N35))</f>
      </c>
    </row>
    <row r="37" spans="1:14" ht="19.5" customHeight="1">
      <c r="A37" s="1"/>
      <c r="B37" s="183" t="s">
        <v>45</v>
      </c>
      <c r="C37" s="183"/>
      <c r="D37" s="183"/>
      <c r="E37" s="183"/>
      <c r="F37" s="183"/>
      <c r="G37" s="113">
        <v>0</v>
      </c>
      <c r="H37" s="1"/>
      <c r="M37" s="111"/>
      <c r="N37" s="114" t="s">
        <v>55</v>
      </c>
    </row>
    <row r="38" spans="1:14" ht="19.5" customHeight="1">
      <c r="A38" s="1"/>
      <c r="B38" s="1"/>
      <c r="C38" s="1"/>
      <c r="D38" s="1"/>
      <c r="E38" s="1"/>
      <c r="F38" s="1"/>
      <c r="G38" s="1"/>
      <c r="H38" s="1"/>
      <c r="I38" s="115" t="s">
        <v>46</v>
      </c>
      <c r="J38" s="29"/>
      <c r="K38" s="29"/>
      <c r="L38" s="29"/>
      <c r="M38" s="29"/>
      <c r="N38" s="29"/>
    </row>
    <row r="39" spans="1:17" ht="12.75">
      <c r="A39" s="2"/>
      <c r="B39" s="2"/>
      <c r="C39" s="2"/>
      <c r="D39" s="2"/>
      <c r="E39" s="2"/>
      <c r="F39" s="2"/>
      <c r="H39" s="2"/>
      <c r="P39" s="116"/>
      <c r="Q39" s="116"/>
    </row>
    <row r="40" ht="28.5" customHeight="1">
      <c r="H40" s="2"/>
    </row>
    <row r="41" ht="12.75">
      <c r="H41" s="2"/>
    </row>
    <row r="60" spans="2:7" ht="12.75">
      <c r="B60" s="11"/>
      <c r="C60" s="11"/>
      <c r="G60" s="12"/>
    </row>
  </sheetData>
  <sheetProtection/>
  <mergeCells count="14">
    <mergeCell ref="B37:F37"/>
    <mergeCell ref="I11:N11"/>
    <mergeCell ref="I17:N17"/>
    <mergeCell ref="I18:N18"/>
    <mergeCell ref="I29:L29"/>
    <mergeCell ref="M29:N29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Q62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The Gambia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240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39994</v>
      </c>
      <c r="J13" s="119">
        <v>40060</v>
      </c>
      <c r="K13" s="44">
        <f>+J13-I13+1</f>
        <v>67</v>
      </c>
      <c r="L13" s="129">
        <v>1.2</v>
      </c>
      <c r="M13" s="130">
        <f>ROUND(K13*L13,2)</f>
        <v>80.4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40120</v>
      </c>
      <c r="J14" s="119">
        <v>40178</v>
      </c>
      <c r="K14" s="44">
        <f>+J14-I14+1</f>
        <v>59</v>
      </c>
      <c r="L14" s="129">
        <v>1.2</v>
      </c>
      <c r="M14" s="130">
        <f>ROUND(K14*L14,2)</f>
        <v>70.8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$"&amp;ROUND(SUM(B21:B27),2)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 aca="true" t="shared" si="0" ref="B21:B27"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aca="true" t="shared" si="1" ref="G21:G27">C21+D21/29+E21/30+F21/31</f>
        <v>0</v>
      </c>
      <c r="H21" s="1"/>
      <c r="I21" s="124" t="s">
        <v>50</v>
      </c>
      <c r="J21" s="121" t="s">
        <v>88</v>
      </c>
      <c r="K21" s="125">
        <v>207.11</v>
      </c>
      <c r="L21" s="122">
        <v>0.36</v>
      </c>
      <c r="M21" s="126">
        <f aca="true" t="shared" si="2" ref="M21:M27">ROUND(K21*L21,2)</f>
        <v>74.56</v>
      </c>
      <c r="N21" s="75" t="str">
        <f aca="true" t="shared" si="3" ref="N21:N27">IF($G21=0,"----",M21*$G21)</f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24" t="s">
        <v>62</v>
      </c>
      <c r="J22" s="121" t="s">
        <v>88</v>
      </c>
      <c r="K22" s="125">
        <v>177.08</v>
      </c>
      <c r="L22" s="122">
        <v>0.41</v>
      </c>
      <c r="M22" s="126">
        <f t="shared" si="2"/>
        <v>72.6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24" t="s">
        <v>50</v>
      </c>
      <c r="J23" s="121" t="s">
        <v>264</v>
      </c>
      <c r="K23" s="125">
        <v>216.19</v>
      </c>
      <c r="L23" s="122">
        <v>0.36</v>
      </c>
      <c r="M23" s="126">
        <f t="shared" si="2"/>
        <v>77.83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24" t="s">
        <v>62</v>
      </c>
      <c r="J24" s="121" t="s">
        <v>264</v>
      </c>
      <c r="K24" s="125">
        <v>186.28</v>
      </c>
      <c r="L24" s="122">
        <v>0.41</v>
      </c>
      <c r="M24" s="126">
        <f t="shared" si="2"/>
        <v>76.37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24" t="s">
        <v>50</v>
      </c>
      <c r="J25" s="121" t="s">
        <v>91</v>
      </c>
      <c r="K25" s="125">
        <v>240.98</v>
      </c>
      <c r="L25" s="122">
        <v>0.22</v>
      </c>
      <c r="M25" s="126">
        <f t="shared" si="2"/>
        <v>53.02</v>
      </c>
      <c r="N25" s="75" t="str">
        <f t="shared" si="3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24" t="s">
        <v>62</v>
      </c>
      <c r="J26" s="121" t="s">
        <v>91</v>
      </c>
      <c r="K26" s="125">
        <v>206.98</v>
      </c>
      <c r="L26" s="122">
        <v>0.41</v>
      </c>
      <c r="M26" s="126">
        <f t="shared" si="2"/>
        <v>84.86</v>
      </c>
      <c r="N26" s="75" t="str">
        <f t="shared" si="3"/>
        <v>----</v>
      </c>
    </row>
    <row r="27" spans="1:14" ht="15" customHeight="1" thickBo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31"/>
      <c r="J27" s="123"/>
      <c r="K27" s="125"/>
      <c r="L27" s="122"/>
      <c r="M27" s="132">
        <f t="shared" si="2"/>
        <v>0</v>
      </c>
      <c r="N27" s="77" t="str">
        <f t="shared" si="3"/>
        <v>----</v>
      </c>
    </row>
    <row r="28" spans="1:16" ht="20.25" customHeight="1" thickBot="1">
      <c r="A28" s="1"/>
      <c r="B28" s="78">
        <f>SUM(B21:B27)</f>
        <v>0</v>
      </c>
      <c r="C28" s="79"/>
      <c r="D28" s="79"/>
      <c r="E28" s="79"/>
      <c r="F28" s="79"/>
      <c r="G28" s="79"/>
      <c r="H28" s="1"/>
      <c r="I28" s="80"/>
      <c r="J28" s="52"/>
      <c r="K28" s="81"/>
      <c r="L28" s="82"/>
      <c r="M28" s="54" t="s">
        <v>29</v>
      </c>
      <c r="N28" s="83" t="str">
        <f>IF(SUM(N21:N27)=0,"----",SUM((N21:N27)))</f>
        <v>----</v>
      </c>
      <c r="P28" s="84"/>
    </row>
    <row r="29" spans="1:14" ht="15" customHeight="1" thickBot="1">
      <c r="A29" s="1"/>
      <c r="B29" s="79"/>
      <c r="C29" s="79"/>
      <c r="D29" s="79"/>
      <c r="E29" s="79"/>
      <c r="F29" s="79"/>
      <c r="H29" s="1"/>
      <c r="I29" s="85"/>
      <c r="J29" s="21"/>
      <c r="K29" s="86"/>
      <c r="L29" s="87"/>
      <c r="M29" s="23"/>
      <c r="N29" s="23"/>
    </row>
    <row r="30" spans="1:17" ht="25.5" customHeight="1">
      <c r="A30" s="1"/>
      <c r="B30" s="71"/>
      <c r="C30" s="2"/>
      <c r="D30" s="2"/>
      <c r="E30" s="2"/>
      <c r="F30" s="71"/>
      <c r="H30" s="1"/>
      <c r="I30" s="24" t="s">
        <v>30</v>
      </c>
      <c r="J30" s="25"/>
      <c r="K30" s="88"/>
      <c r="L30" s="89"/>
      <c r="M30" s="90" t="s">
        <v>31</v>
      </c>
      <c r="N30" s="26"/>
      <c r="P30" s="91"/>
      <c r="Q30" s="3"/>
    </row>
    <row r="31" spans="1:17" ht="28.5" customHeight="1">
      <c r="A31" s="1"/>
      <c r="B31" s="92" t="s">
        <v>32</v>
      </c>
      <c r="C31" s="93"/>
      <c r="D31" s="93"/>
      <c r="E31" s="94"/>
      <c r="F31" s="71"/>
      <c r="G31" s="95" t="s">
        <v>33</v>
      </c>
      <c r="H31" s="1"/>
      <c r="I31" s="175" t="s">
        <v>34</v>
      </c>
      <c r="J31" s="186"/>
      <c r="K31" s="186"/>
      <c r="L31" s="186"/>
      <c r="M31" s="184" t="s">
        <v>35</v>
      </c>
      <c r="N31" s="185"/>
      <c r="P31" s="3"/>
      <c r="Q31" s="3"/>
    </row>
    <row r="32" spans="1:17" ht="45" customHeight="1">
      <c r="A32" s="1"/>
      <c r="B32" s="67" t="s">
        <v>18</v>
      </c>
      <c r="C32" s="67" t="s">
        <v>36</v>
      </c>
      <c r="D32" s="67" t="s">
        <v>37</v>
      </c>
      <c r="E32" s="67" t="s">
        <v>38</v>
      </c>
      <c r="G32" s="67" t="s">
        <v>39</v>
      </c>
      <c r="H32" s="1"/>
      <c r="I32" s="96" t="s">
        <v>27</v>
      </c>
      <c r="J32" s="97" t="s">
        <v>56</v>
      </c>
      <c r="K32" s="3"/>
      <c r="L32" s="3"/>
      <c r="M32" s="36" t="s">
        <v>40</v>
      </c>
      <c r="N32" s="37" t="s">
        <v>56</v>
      </c>
      <c r="Q32" s="3"/>
    </row>
    <row r="33" spans="1:17" ht="15" customHeight="1" thickBot="1">
      <c r="A33" s="1"/>
      <c r="B33" s="98">
        <f>SUM(C21:C27)</f>
        <v>0</v>
      </c>
      <c r="C33" s="98">
        <f>COUNTIF(D21:F27,"&gt;=16")</f>
        <v>0</v>
      </c>
      <c r="D33" s="98">
        <f>(COUNTIF(D21:F27,"&gt;0")-C33)/2</f>
        <v>0</v>
      </c>
      <c r="E33" s="98">
        <f>SUM(B33:D33)</f>
        <v>0</v>
      </c>
      <c r="G33" s="99">
        <v>0</v>
      </c>
      <c r="H33" s="1"/>
      <c r="I33" s="100">
        <v>24</v>
      </c>
      <c r="J33" s="101" t="str">
        <f>IF(E33*I33=0,"----",E33*I33)</f>
        <v>----</v>
      </c>
      <c r="K33" s="3"/>
      <c r="L33" s="3"/>
      <c r="M33" s="102">
        <v>12</v>
      </c>
      <c r="N33" s="76" t="str">
        <f>IF($G33=0,"----",M33*$G33)</f>
        <v>----</v>
      </c>
      <c r="Q33" s="3"/>
    </row>
    <row r="34" spans="1:17" ht="15" customHeight="1" thickBot="1">
      <c r="A34" s="1"/>
      <c r="B34" s="12"/>
      <c r="C34" s="12"/>
      <c r="D34" s="12"/>
      <c r="E34" s="103"/>
      <c r="F34" s="12"/>
      <c r="G34" s="12"/>
      <c r="H34" s="1"/>
      <c r="I34" s="104"/>
      <c r="J34" s="105"/>
      <c r="K34" s="105"/>
      <c r="L34" s="106"/>
      <c r="M34" s="54" t="s">
        <v>41</v>
      </c>
      <c r="N34" s="83" t="str">
        <f>IF(SUM(J33,N33)=0,"----",SUM((J33,N33)))</f>
        <v>----</v>
      </c>
      <c r="Q34" s="3"/>
    </row>
    <row r="35" spans="1:15" s="12" customFormat="1" ht="15" customHeight="1">
      <c r="A35" s="5"/>
      <c r="E35" s="2"/>
      <c r="F35" s="2"/>
      <c r="H35" s="5"/>
      <c r="I35" s="2"/>
      <c r="J35" s="2"/>
      <c r="K35" s="2"/>
      <c r="L35" s="2"/>
      <c r="M35" s="2"/>
      <c r="N35" s="2"/>
      <c r="O35" s="11"/>
    </row>
    <row r="36" spans="1:15" s="12" customFormat="1" ht="20.25" customHeight="1">
      <c r="A36" s="5"/>
      <c r="H36" s="5"/>
      <c r="I36" s="2"/>
      <c r="J36" s="2"/>
      <c r="K36" s="2"/>
      <c r="L36" s="2"/>
      <c r="M36" s="23" t="s">
        <v>42</v>
      </c>
      <c r="N36" s="107">
        <f>SUM(N15,N28,N34)</f>
        <v>0</v>
      </c>
      <c r="O36" s="11"/>
    </row>
    <row r="37" spans="1:14" ht="15.75" thickBot="1">
      <c r="A37" s="1"/>
      <c r="B37" s="2"/>
      <c r="C37" s="2"/>
      <c r="D37" s="2"/>
      <c r="E37" s="2"/>
      <c r="F37" s="2"/>
      <c r="H37" s="1"/>
      <c r="M37" s="23" t="s">
        <v>43</v>
      </c>
      <c r="N37" s="107">
        <f>IF(G39=0,"",G39)</f>
      </c>
    </row>
    <row r="38" spans="1:14" ht="19.5" customHeight="1" thickBot="1">
      <c r="A38" s="1"/>
      <c r="B38" s="108" t="s">
        <v>44</v>
      </c>
      <c r="C38" s="109"/>
      <c r="D38" s="109"/>
      <c r="E38" s="109"/>
      <c r="F38" s="109"/>
      <c r="G38" s="110"/>
      <c r="H38" s="1"/>
      <c r="M38" s="111" t="s">
        <v>54</v>
      </c>
      <c r="N38" s="112">
        <f>IF(G39=0,"",SUM(N36:N37))</f>
      </c>
    </row>
    <row r="39" spans="1:14" ht="19.5" customHeight="1">
      <c r="A39" s="1"/>
      <c r="B39" s="183" t="s">
        <v>45</v>
      </c>
      <c r="C39" s="183"/>
      <c r="D39" s="183"/>
      <c r="E39" s="183"/>
      <c r="F39" s="183"/>
      <c r="G39" s="113">
        <v>0</v>
      </c>
      <c r="H39" s="1"/>
      <c r="M39" s="111"/>
      <c r="N39" s="114" t="s">
        <v>55</v>
      </c>
    </row>
    <row r="40" spans="1:14" ht="19.5" customHeight="1">
      <c r="A40" s="1"/>
      <c r="B40" s="1"/>
      <c r="C40" s="1"/>
      <c r="D40" s="1"/>
      <c r="E40" s="1"/>
      <c r="F40" s="1"/>
      <c r="G40" s="1"/>
      <c r="H40" s="1"/>
      <c r="I40" s="115" t="s">
        <v>46</v>
      </c>
      <c r="J40" s="29"/>
      <c r="K40" s="29"/>
      <c r="L40" s="29"/>
      <c r="M40" s="29"/>
      <c r="N40" s="29"/>
    </row>
    <row r="41" spans="1:17" ht="12.75">
      <c r="A41" s="2"/>
      <c r="B41" s="2"/>
      <c r="C41" s="2"/>
      <c r="D41" s="2"/>
      <c r="E41" s="2"/>
      <c r="F41" s="2"/>
      <c r="H41" s="2"/>
      <c r="P41" s="116"/>
      <c r="Q41" s="116"/>
    </row>
    <row r="42" ht="28.5" customHeight="1">
      <c r="H42" s="2"/>
    </row>
    <row r="43" ht="12.75">
      <c r="H43" s="2"/>
    </row>
    <row r="62" spans="2:7" ht="12.75">
      <c r="B62" s="11"/>
      <c r="C62" s="11"/>
      <c r="G62" s="12"/>
    </row>
  </sheetData>
  <sheetProtection/>
  <mergeCells count="14">
    <mergeCell ref="I31:L31"/>
    <mergeCell ref="M31:N31"/>
    <mergeCell ref="B39:F39"/>
    <mergeCell ref="C8:D8"/>
    <mergeCell ref="E8:G8"/>
    <mergeCell ref="I11:N11"/>
    <mergeCell ref="I18:N18"/>
    <mergeCell ref="I19:N19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Georgia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207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39981</v>
      </c>
      <c r="J13" s="119">
        <v>40046</v>
      </c>
      <c r="K13" s="44">
        <f>+J13-I13+1</f>
        <v>66</v>
      </c>
      <c r="L13" s="129">
        <v>2.39</v>
      </c>
      <c r="M13" s="130">
        <f>ROUND(K13*L13,2)</f>
        <v>157.74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224</v>
      </c>
      <c r="K20" s="125">
        <v>304</v>
      </c>
      <c r="L20" s="122">
        <v>0.44</v>
      </c>
      <c r="M20" s="126">
        <f>ROUND(K20*L20,2)</f>
        <v>133.76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186</v>
      </c>
      <c r="K21" s="125">
        <v>323</v>
      </c>
      <c r="L21" s="122">
        <v>0.44</v>
      </c>
      <c r="M21" s="126">
        <f>ROUND(K21*L21,2)</f>
        <v>142.12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33:F33"/>
    <mergeCell ref="I11:N11"/>
    <mergeCell ref="I17:N17"/>
    <mergeCell ref="I18:N18"/>
    <mergeCell ref="I25:L25"/>
    <mergeCell ref="M25:N25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Ghana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236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39968</v>
      </c>
      <c r="J13" s="119">
        <v>40038</v>
      </c>
      <c r="K13" s="44">
        <f>+J13-I13+1</f>
        <v>71</v>
      </c>
      <c r="L13" s="129">
        <v>1.9</v>
      </c>
      <c r="M13" s="130">
        <f>ROUND(K13*L13,2)</f>
        <v>134.9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50</v>
      </c>
      <c r="J20" s="121" t="s">
        <v>28</v>
      </c>
      <c r="K20" s="125">
        <v>240.95</v>
      </c>
      <c r="L20" s="122">
        <v>0.37</v>
      </c>
      <c r="M20" s="126">
        <f>ROUND(K20*L20,2)</f>
        <v>89.15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62</v>
      </c>
      <c r="J21" s="121" t="s">
        <v>28</v>
      </c>
      <c r="K21" s="125">
        <v>188.57</v>
      </c>
      <c r="L21" s="122">
        <v>0.36</v>
      </c>
      <c r="M21" s="126">
        <f>ROUND(K21*L21,2)</f>
        <v>67.89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2:G4"/>
    <mergeCell ref="B5:G5"/>
    <mergeCell ref="C6:D6"/>
    <mergeCell ref="E6:G6"/>
    <mergeCell ref="C7:D7"/>
    <mergeCell ref="E7:G7"/>
    <mergeCell ref="B33:F33"/>
    <mergeCell ref="C8:D8"/>
    <mergeCell ref="E8:G8"/>
    <mergeCell ref="I11:N11"/>
    <mergeCell ref="I17:N17"/>
    <mergeCell ref="I18:N18"/>
    <mergeCell ref="I25:L25"/>
    <mergeCell ref="M25:N25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Q6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Guatemala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116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39820</v>
      </c>
      <c r="J13" s="119">
        <v>39898</v>
      </c>
      <c r="K13" s="44">
        <f>+J13-I13+1</f>
        <v>79</v>
      </c>
      <c r="L13" s="129">
        <v>3.35</v>
      </c>
      <c r="M13" s="130">
        <f>ROUND(K13*L13,2)</f>
        <v>264.65</v>
      </c>
      <c r="N13" s="46" t="str">
        <f>IF($G13=0,"----",M13)</f>
        <v>----</v>
      </c>
      <c r="P13" s="3"/>
      <c r="Q13" s="3"/>
    </row>
    <row r="14" spans="1:17" ht="15" customHeigh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39932</v>
      </c>
      <c r="J14" s="119">
        <v>40010</v>
      </c>
      <c r="K14" s="44">
        <f>+J14-I14+1</f>
        <v>79</v>
      </c>
      <c r="L14" s="129">
        <v>3.35</v>
      </c>
      <c r="M14" s="130">
        <f>ROUND(K14*L14,2)</f>
        <v>264.65</v>
      </c>
      <c r="N14" s="46" t="str">
        <f>IF($G14=0,"----",M14)</f>
        <v>----</v>
      </c>
      <c r="P14" s="3"/>
      <c r="Q14" s="3"/>
    </row>
    <row r="15" spans="1:17" ht="15" customHeight="1" thickBot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118">
        <v>40035</v>
      </c>
      <c r="J15" s="119">
        <v>40115</v>
      </c>
      <c r="K15" s="44">
        <f>+J15-I15+1</f>
        <v>81</v>
      </c>
      <c r="L15" s="129">
        <v>3.35</v>
      </c>
      <c r="M15" s="130">
        <f>ROUND(K15*L15,2)</f>
        <v>271.35</v>
      </c>
      <c r="N15" s="46" t="str">
        <f>IF($G15=0,"----",M15)</f>
        <v>----</v>
      </c>
      <c r="P15" s="3"/>
      <c r="Q15" s="3"/>
    </row>
    <row r="16" spans="1:17" ht="20.25" customHeight="1" thickBot="1">
      <c r="A16" s="1"/>
      <c r="B16" s="2"/>
      <c r="C16" s="2"/>
      <c r="D16" s="2"/>
      <c r="E16" s="2"/>
      <c r="F16" s="2"/>
      <c r="H16" s="1"/>
      <c r="I16" s="50"/>
      <c r="J16" s="51"/>
      <c r="K16" s="52"/>
      <c r="L16" s="53"/>
      <c r="M16" s="54" t="s">
        <v>13</v>
      </c>
      <c r="N16" s="55" t="str">
        <f>IF(SUM(N13:N15)=0,"----",SUM((N13:N15)))</f>
        <v>----</v>
      </c>
      <c r="P16" s="3"/>
      <c r="Q16" s="3"/>
    </row>
    <row r="17" spans="1:17" ht="15" customHeight="1" thickBot="1">
      <c r="A17" s="1"/>
      <c r="B17" s="2"/>
      <c r="C17" s="2"/>
      <c r="D17" s="2"/>
      <c r="E17" s="2"/>
      <c r="F17" s="2"/>
      <c r="H17" s="1"/>
      <c r="I17" s="20"/>
      <c r="J17" s="20"/>
      <c r="K17" s="21"/>
      <c r="L17" s="22"/>
      <c r="M17" s="23"/>
      <c r="N17" s="23"/>
      <c r="P17" s="3"/>
      <c r="Q17" s="3"/>
    </row>
    <row r="18" spans="1:17" s="12" customFormat="1" ht="25.5" customHeight="1">
      <c r="A18" s="5"/>
      <c r="B18" s="56"/>
      <c r="C18" s="56"/>
      <c r="D18" s="56"/>
      <c r="E18" s="56"/>
      <c r="F18" s="56"/>
      <c r="H18" s="5"/>
      <c r="I18" s="24" t="s">
        <v>14</v>
      </c>
      <c r="J18" s="25"/>
      <c r="K18" s="25"/>
      <c r="L18" s="25"/>
      <c r="M18" s="25"/>
      <c r="N18" s="57"/>
      <c r="O18" s="11"/>
      <c r="P18" s="2"/>
      <c r="Q18" s="2"/>
    </row>
    <row r="19" spans="1:17" ht="27" customHeight="1">
      <c r="A19" s="1"/>
      <c r="B19" s="58" t="s">
        <v>15</v>
      </c>
      <c r="C19" s="59"/>
      <c r="D19" s="60"/>
      <c r="E19" s="60"/>
      <c r="F19" s="60"/>
      <c r="G19" s="61"/>
      <c r="H19" s="1"/>
      <c r="I19" s="175" t="s">
        <v>58</v>
      </c>
      <c r="J19" s="176"/>
      <c r="K19" s="176"/>
      <c r="L19" s="176"/>
      <c r="M19" s="176"/>
      <c r="N19" s="177"/>
      <c r="Q19" s="3"/>
    </row>
    <row r="20" spans="1:17" ht="12.75">
      <c r="A20" s="1"/>
      <c r="B20" s="62" t="s">
        <v>16</v>
      </c>
      <c r="D20" s="63"/>
      <c r="E20" s="63"/>
      <c r="F20" s="63"/>
      <c r="G20" s="64"/>
      <c r="H20" s="1"/>
      <c r="I20" s="178" t="str">
        <f>"For FAFSA filers, your Untaxed Income is ---&gt; $"&amp;ROUND(SUM(B22:B25),2)</f>
        <v>For FAFSA filers, your Untaxed Income is ---&gt; $0</v>
      </c>
      <c r="J20" s="179"/>
      <c r="K20" s="179"/>
      <c r="L20" s="179"/>
      <c r="M20" s="179"/>
      <c r="N20" s="180"/>
      <c r="P20" s="3"/>
      <c r="Q20" s="3"/>
    </row>
    <row r="21" spans="1:16" s="71" customFormat="1" ht="45" customHeight="1">
      <c r="A21" s="65"/>
      <c r="B21" s="66" t="s">
        <v>17</v>
      </c>
      <c r="C21" s="67" t="s">
        <v>18</v>
      </c>
      <c r="D21" s="67" t="s">
        <v>19</v>
      </c>
      <c r="E21" s="67" t="s">
        <v>20</v>
      </c>
      <c r="F21" s="67" t="s">
        <v>21</v>
      </c>
      <c r="G21" s="67" t="s">
        <v>22</v>
      </c>
      <c r="H21" s="65"/>
      <c r="I21" s="68" t="s">
        <v>23</v>
      </c>
      <c r="J21" s="69" t="s">
        <v>24</v>
      </c>
      <c r="K21" s="36" t="s">
        <v>25</v>
      </c>
      <c r="L21" s="36" t="s">
        <v>26</v>
      </c>
      <c r="M21" s="36" t="s">
        <v>27</v>
      </c>
      <c r="N21" s="37" t="s">
        <v>56</v>
      </c>
      <c r="O21" s="70"/>
      <c r="P21" s="2"/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119</v>
      </c>
      <c r="J22" s="121" t="s">
        <v>28</v>
      </c>
      <c r="K22" s="125">
        <v>378.48</v>
      </c>
      <c r="L22" s="122">
        <v>0.33</v>
      </c>
      <c r="M22" s="126">
        <f>ROUND(K22*L22,2)</f>
        <v>124.9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120</v>
      </c>
      <c r="J23" s="121" t="s">
        <v>28</v>
      </c>
      <c r="K23" s="125">
        <v>329.77</v>
      </c>
      <c r="L23" s="122">
        <v>0.38</v>
      </c>
      <c r="M23" s="126">
        <f>ROUND(K23*L23,2)</f>
        <v>125.31</v>
      </c>
      <c r="N23" s="75" t="str">
        <f>IF($G23=0,"----",M23*$G23)</f>
        <v>----</v>
      </c>
    </row>
    <row r="24" spans="1:14" ht="15" customHeigh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24" t="s">
        <v>121</v>
      </c>
      <c r="J24" s="121" t="s">
        <v>28</v>
      </c>
      <c r="K24" s="125">
        <v>317.53</v>
      </c>
      <c r="L24" s="122">
        <v>0.39</v>
      </c>
      <c r="M24" s="126">
        <f>ROUND(K24*L24,2)</f>
        <v>123.84</v>
      </c>
      <c r="N24" s="75" t="str">
        <f>IF($G24=0,"----",M24*$G24)</f>
        <v>----</v>
      </c>
    </row>
    <row r="25" spans="1:14" ht="15" customHeight="1" thickBot="1">
      <c r="A25" s="1"/>
      <c r="B25" s="72" t="str">
        <f>IF($G25=0,"----",(K25-M25)*$G25)</f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>C25+D25/29+E25/30+F25/31</f>
        <v>0</v>
      </c>
      <c r="H25" s="1"/>
      <c r="I25" s="124" t="s">
        <v>122</v>
      </c>
      <c r="J25" s="121" t="s">
        <v>28</v>
      </c>
      <c r="K25" s="125">
        <v>292.15</v>
      </c>
      <c r="L25" s="122">
        <v>0.43</v>
      </c>
      <c r="M25" s="126">
        <f>ROUND(K25*L25,2)</f>
        <v>125.62</v>
      </c>
      <c r="N25" s="75" t="str">
        <f>IF($G25=0,"----",M25*$G25)</f>
        <v>----</v>
      </c>
    </row>
    <row r="26" spans="1:16" ht="20.25" customHeight="1" thickBot="1">
      <c r="A26" s="1"/>
      <c r="B26" s="78">
        <f>SUM(B22:B25)</f>
        <v>0</v>
      </c>
      <c r="C26" s="79"/>
      <c r="D26" s="79"/>
      <c r="E26" s="79"/>
      <c r="F26" s="79"/>
      <c r="G26" s="79"/>
      <c r="H26" s="1"/>
      <c r="I26" s="80"/>
      <c r="J26" s="52"/>
      <c r="K26" s="81"/>
      <c r="L26" s="82"/>
      <c r="M26" s="54" t="s">
        <v>29</v>
      </c>
      <c r="N26" s="83" t="str">
        <f>IF(SUM(N22:N25)=0,"----",SUM((N22:N25)))</f>
        <v>----</v>
      </c>
      <c r="P26" s="84"/>
    </row>
    <row r="27" spans="1:14" ht="15" customHeight="1" thickBot="1">
      <c r="A27" s="1"/>
      <c r="B27" s="79"/>
      <c r="C27" s="79"/>
      <c r="D27" s="79"/>
      <c r="E27" s="79"/>
      <c r="F27" s="79"/>
      <c r="H27" s="1"/>
      <c r="I27" s="85"/>
      <c r="J27" s="21"/>
      <c r="K27" s="86"/>
      <c r="L27" s="87"/>
      <c r="M27" s="23"/>
      <c r="N27" s="23"/>
    </row>
    <row r="28" spans="1:17" ht="25.5" customHeight="1">
      <c r="A28" s="1"/>
      <c r="B28" s="71"/>
      <c r="C28" s="2"/>
      <c r="D28" s="2"/>
      <c r="E28" s="2"/>
      <c r="F28" s="71"/>
      <c r="H28" s="1"/>
      <c r="I28" s="24" t="s">
        <v>30</v>
      </c>
      <c r="J28" s="25"/>
      <c r="K28" s="88"/>
      <c r="L28" s="89"/>
      <c r="M28" s="90" t="s">
        <v>31</v>
      </c>
      <c r="N28" s="26"/>
      <c r="P28" s="91"/>
      <c r="Q28" s="3"/>
    </row>
    <row r="29" spans="1:17" ht="28.5" customHeight="1">
      <c r="A29" s="1"/>
      <c r="B29" s="92" t="s">
        <v>32</v>
      </c>
      <c r="C29" s="93"/>
      <c r="D29" s="93"/>
      <c r="E29" s="94"/>
      <c r="F29" s="71"/>
      <c r="G29" s="95" t="s">
        <v>33</v>
      </c>
      <c r="H29" s="1"/>
      <c r="I29" s="175" t="s">
        <v>34</v>
      </c>
      <c r="J29" s="186"/>
      <c r="K29" s="186"/>
      <c r="L29" s="186"/>
      <c r="M29" s="184" t="s">
        <v>35</v>
      </c>
      <c r="N29" s="185"/>
      <c r="P29" s="3"/>
      <c r="Q29" s="3"/>
    </row>
    <row r="30" spans="1:17" ht="45" customHeight="1">
      <c r="A30" s="1"/>
      <c r="B30" s="67" t="s">
        <v>18</v>
      </c>
      <c r="C30" s="67" t="s">
        <v>36</v>
      </c>
      <c r="D30" s="67" t="s">
        <v>37</v>
      </c>
      <c r="E30" s="67" t="s">
        <v>38</v>
      </c>
      <c r="G30" s="67" t="s">
        <v>39</v>
      </c>
      <c r="H30" s="1"/>
      <c r="I30" s="96" t="s">
        <v>27</v>
      </c>
      <c r="J30" s="97" t="s">
        <v>56</v>
      </c>
      <c r="K30" s="3"/>
      <c r="L30" s="3"/>
      <c r="M30" s="36" t="s">
        <v>40</v>
      </c>
      <c r="N30" s="37" t="s">
        <v>56</v>
      </c>
      <c r="Q30" s="3"/>
    </row>
    <row r="31" spans="1:17" ht="15" customHeight="1" thickBot="1">
      <c r="A31" s="1"/>
      <c r="B31" s="98">
        <f>SUM(C22:C25)</f>
        <v>0</v>
      </c>
      <c r="C31" s="98">
        <f>COUNTIF(D22:F25,"&gt;=16")</f>
        <v>0</v>
      </c>
      <c r="D31" s="98">
        <f>(COUNTIF(D22:F25,"&gt;0")-C31)/2</f>
        <v>0</v>
      </c>
      <c r="E31" s="98">
        <f>SUM(B31:D31)</f>
        <v>0</v>
      </c>
      <c r="G31" s="99">
        <v>0</v>
      </c>
      <c r="H31" s="1"/>
      <c r="I31" s="100">
        <v>24</v>
      </c>
      <c r="J31" s="101" t="str">
        <f>IF(E31*I31=0,"----",E31*I31)</f>
        <v>----</v>
      </c>
      <c r="K31" s="3"/>
      <c r="L31" s="3"/>
      <c r="M31" s="102">
        <v>12</v>
      </c>
      <c r="N31" s="76" t="str">
        <f>IF($G31=0,"----",M31*$G31)</f>
        <v>----</v>
      </c>
      <c r="Q31" s="3"/>
    </row>
    <row r="32" spans="1:17" ht="15" customHeight="1" thickBot="1">
      <c r="A32" s="1"/>
      <c r="B32" s="12"/>
      <c r="C32" s="12"/>
      <c r="D32" s="12"/>
      <c r="E32" s="103"/>
      <c r="F32" s="12"/>
      <c r="G32" s="12"/>
      <c r="H32" s="1"/>
      <c r="I32" s="104"/>
      <c r="J32" s="105"/>
      <c r="K32" s="105"/>
      <c r="L32" s="106"/>
      <c r="M32" s="54" t="s">
        <v>41</v>
      </c>
      <c r="N32" s="83" t="str">
        <f>IF(SUM(J31,N31)=0,"----",SUM((J31,N31)))</f>
        <v>----</v>
      </c>
      <c r="Q32" s="3"/>
    </row>
    <row r="33" spans="1:15" s="12" customFormat="1" ht="15" customHeight="1">
      <c r="A33" s="5"/>
      <c r="E33" s="2"/>
      <c r="F33" s="2"/>
      <c r="H33" s="5"/>
      <c r="I33" s="2"/>
      <c r="J33" s="2"/>
      <c r="K33" s="2"/>
      <c r="L33" s="2"/>
      <c r="M33" s="2"/>
      <c r="N33" s="2"/>
      <c r="O33" s="11"/>
    </row>
    <row r="34" spans="1:15" s="12" customFormat="1" ht="20.25" customHeight="1">
      <c r="A34" s="5"/>
      <c r="H34" s="5"/>
      <c r="I34" s="2"/>
      <c r="J34" s="2"/>
      <c r="K34" s="2"/>
      <c r="L34" s="2"/>
      <c r="M34" s="23" t="s">
        <v>42</v>
      </c>
      <c r="N34" s="107">
        <f>SUM(N16,N26,N32)</f>
        <v>0</v>
      </c>
      <c r="O34" s="11"/>
    </row>
    <row r="35" spans="1:14" ht="15.75" thickBot="1">
      <c r="A35" s="1"/>
      <c r="B35" s="2"/>
      <c r="C35" s="2"/>
      <c r="D35" s="2"/>
      <c r="E35" s="2"/>
      <c r="F35" s="2"/>
      <c r="H35" s="1"/>
      <c r="M35" s="23" t="s">
        <v>43</v>
      </c>
      <c r="N35" s="107">
        <f>IF(G37=0,"",G37)</f>
      </c>
    </row>
    <row r="36" spans="1:14" ht="19.5" customHeight="1" thickBot="1">
      <c r="A36" s="1"/>
      <c r="B36" s="108" t="s">
        <v>44</v>
      </c>
      <c r="C36" s="109"/>
      <c r="D36" s="109"/>
      <c r="E36" s="109"/>
      <c r="F36" s="109"/>
      <c r="G36" s="110"/>
      <c r="H36" s="1"/>
      <c r="M36" s="111" t="s">
        <v>54</v>
      </c>
      <c r="N36" s="112">
        <f>IF(G37=0,"",SUM(N34:N35))</f>
      </c>
    </row>
    <row r="37" spans="1:14" ht="19.5" customHeight="1">
      <c r="A37" s="1"/>
      <c r="B37" s="183" t="s">
        <v>45</v>
      </c>
      <c r="C37" s="183"/>
      <c r="D37" s="183"/>
      <c r="E37" s="183"/>
      <c r="F37" s="183"/>
      <c r="G37" s="113">
        <v>0</v>
      </c>
      <c r="H37" s="1"/>
      <c r="M37" s="111"/>
      <c r="N37" s="114" t="s">
        <v>55</v>
      </c>
    </row>
    <row r="38" spans="1:14" ht="19.5" customHeight="1">
      <c r="A38" s="1"/>
      <c r="B38" s="1"/>
      <c r="C38" s="1"/>
      <c r="D38" s="1"/>
      <c r="E38" s="1"/>
      <c r="F38" s="1"/>
      <c r="G38" s="1"/>
      <c r="H38" s="1"/>
      <c r="I38" s="115" t="s">
        <v>46</v>
      </c>
      <c r="J38" s="29"/>
      <c r="K38" s="29"/>
      <c r="L38" s="29"/>
      <c r="M38" s="29"/>
      <c r="N38" s="29"/>
    </row>
    <row r="39" spans="1:17" ht="12.75">
      <c r="A39" s="2"/>
      <c r="B39" s="2"/>
      <c r="C39" s="2"/>
      <c r="D39" s="2"/>
      <c r="E39" s="2"/>
      <c r="F39" s="2"/>
      <c r="H39" s="2"/>
      <c r="P39" s="116"/>
      <c r="Q39" s="116"/>
    </row>
    <row r="40" ht="28.5" customHeight="1">
      <c r="H40" s="2"/>
    </row>
    <row r="41" ht="12.75">
      <c r="H41" s="2"/>
    </row>
    <row r="60" spans="2:7" ht="12.75">
      <c r="B60" s="11"/>
      <c r="C60" s="11"/>
      <c r="G60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7:F37"/>
    <mergeCell ref="I11:N11"/>
    <mergeCell ref="I19:N19"/>
    <mergeCell ref="I20:N20"/>
    <mergeCell ref="I29:L29"/>
    <mergeCell ref="M29:N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0">
      <selection activeCell="I22" sqref="I22:N22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349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Ghana</v>
      </c>
      <c r="K5" s="8"/>
      <c r="L5" s="9"/>
      <c r="M5" s="10"/>
      <c r="N5" s="10"/>
      <c r="O5" s="11"/>
      <c r="P5" s="2"/>
      <c r="Q5" s="2"/>
    </row>
    <row r="6" spans="1:14" ht="18">
      <c r="A6" s="1"/>
      <c r="C6" s="258" t="s">
        <v>1</v>
      </c>
      <c r="D6" s="258"/>
      <c r="E6" s="259" t="s">
        <v>236</v>
      </c>
      <c r="F6" s="259"/>
      <c r="G6" s="259"/>
      <c r="H6" s="1"/>
      <c r="I6" s="13"/>
      <c r="J6" s="282" t="s">
        <v>48</v>
      </c>
      <c r="K6" s="282"/>
      <c r="L6" s="282"/>
      <c r="M6" s="282"/>
      <c r="N6" s="282"/>
    </row>
    <row r="7" spans="1:14" ht="32.25" customHeight="1">
      <c r="A7" s="1"/>
      <c r="C7" s="258" t="s">
        <v>2</v>
      </c>
      <c r="D7" s="258"/>
      <c r="E7" s="260" t="s">
        <v>350</v>
      </c>
      <c r="F7" s="260"/>
      <c r="G7" s="260"/>
      <c r="H7" s="1"/>
      <c r="K7" s="15" t="s">
        <v>2</v>
      </c>
      <c r="L7" s="16" t="str">
        <f>E7</f>
        <v>Luis McPCV</v>
      </c>
      <c r="M7" s="17"/>
      <c r="N7" s="17"/>
    </row>
    <row r="8" spans="1:14" ht="30.75" customHeight="1">
      <c r="A8" s="1"/>
      <c r="B8" s="2"/>
      <c r="C8" s="258" t="s">
        <v>60</v>
      </c>
      <c r="D8" s="258"/>
      <c r="E8" s="260" t="s">
        <v>357</v>
      </c>
      <c r="F8" s="260"/>
      <c r="G8" s="260"/>
      <c r="H8" s="1"/>
      <c r="K8" s="15" t="s">
        <v>53</v>
      </c>
      <c r="L8" s="18" t="str">
        <f>E8</f>
        <v>Jun 07 - Dec 31, 2009</v>
      </c>
      <c r="M8" s="19"/>
      <c r="N8" s="19"/>
    </row>
    <row r="9" spans="1:17" ht="15" customHeight="1" thickBot="1">
      <c r="A9" s="1"/>
      <c r="B9" s="261" t="s">
        <v>361</v>
      </c>
      <c r="C9" s="261"/>
      <c r="D9" s="261"/>
      <c r="E9" s="261"/>
      <c r="F9" s="261"/>
      <c r="G9" s="261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62" t="s">
        <v>351</v>
      </c>
      <c r="C10" s="262"/>
      <c r="D10" s="262"/>
      <c r="E10" s="262"/>
      <c r="F10" s="262"/>
      <c r="G10" s="26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62"/>
      <c r="C11" s="262"/>
      <c r="D11" s="262"/>
      <c r="E11" s="262"/>
      <c r="F11" s="262"/>
      <c r="G11" s="26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1</v>
      </c>
      <c r="H13" s="1"/>
      <c r="I13" s="263">
        <v>39974</v>
      </c>
      <c r="J13" s="264">
        <v>40044</v>
      </c>
      <c r="K13" s="44">
        <f aca="true" t="shared" si="0" ref="K13:K18">+J13-I13+1</f>
        <v>71</v>
      </c>
      <c r="L13" s="265">
        <v>1.9</v>
      </c>
      <c r="M13" s="45">
        <f aca="true" t="shared" si="1" ref="M13:M18">ROUND(K13*L13,2)</f>
        <v>134.9</v>
      </c>
      <c r="N13" s="46">
        <f aca="true" t="shared" si="2" ref="N13:N18">IF($G13=0,"----",M13)</f>
        <v>134.9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263">
        <v>40086</v>
      </c>
      <c r="J14" s="264">
        <v>40159</v>
      </c>
      <c r="K14" s="44">
        <f t="shared" si="0"/>
        <v>74</v>
      </c>
      <c r="L14" s="265">
        <v>1.9</v>
      </c>
      <c r="M14" s="45">
        <f t="shared" si="1"/>
        <v>140.6</v>
      </c>
      <c r="N14" s="46" t="str">
        <f t="shared" si="2"/>
        <v>----</v>
      </c>
      <c r="P14" s="3"/>
      <c r="Q14" s="3"/>
    </row>
    <row r="15" spans="1:17" ht="15" customHeight="1" hidden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263"/>
      <c r="J15" s="264"/>
      <c r="K15" s="44">
        <f t="shared" si="0"/>
        <v>1</v>
      </c>
      <c r="L15" s="265"/>
      <c r="M15" s="45">
        <f t="shared" si="1"/>
        <v>0</v>
      </c>
      <c r="N15" s="46" t="str">
        <f t="shared" si="2"/>
        <v>----</v>
      </c>
      <c r="P15" s="3"/>
      <c r="Q15" s="3"/>
    </row>
    <row r="16" spans="1:17" ht="15" customHeight="1" hidden="1">
      <c r="A16" s="1"/>
      <c r="B16" s="2"/>
      <c r="C16" s="2"/>
      <c r="D16" s="41"/>
      <c r="E16" s="41"/>
      <c r="F16" s="42" t="s">
        <v>47</v>
      </c>
      <c r="G16" s="43">
        <v>0</v>
      </c>
      <c r="H16" s="1"/>
      <c r="I16" s="263"/>
      <c r="J16" s="264"/>
      <c r="K16" s="44">
        <f t="shared" si="0"/>
        <v>1</v>
      </c>
      <c r="L16" s="265"/>
      <c r="M16" s="45">
        <f t="shared" si="1"/>
        <v>0</v>
      </c>
      <c r="N16" s="46" t="str">
        <f t="shared" si="2"/>
        <v>----</v>
      </c>
      <c r="P16" s="3"/>
      <c r="Q16" s="3"/>
    </row>
    <row r="17" spans="1:17" ht="15" customHeight="1" hidden="1">
      <c r="A17" s="1"/>
      <c r="B17" s="2"/>
      <c r="C17" s="2"/>
      <c r="D17" s="41"/>
      <c r="E17" s="41"/>
      <c r="F17" s="42" t="s">
        <v>47</v>
      </c>
      <c r="G17" s="43">
        <v>0</v>
      </c>
      <c r="H17" s="1"/>
      <c r="I17" s="263"/>
      <c r="J17" s="264"/>
      <c r="K17" s="47">
        <f t="shared" si="0"/>
        <v>1</v>
      </c>
      <c r="L17" s="265"/>
      <c r="M17" s="45">
        <f t="shared" si="1"/>
        <v>0</v>
      </c>
      <c r="N17" s="48" t="str">
        <f t="shared" si="2"/>
        <v>----</v>
      </c>
      <c r="P17" s="3"/>
      <c r="Q17" s="3"/>
    </row>
    <row r="18" spans="1:17" ht="15" customHeight="1" hidden="1">
      <c r="A18" s="1"/>
      <c r="B18" s="2"/>
      <c r="C18" s="2"/>
      <c r="D18" s="41"/>
      <c r="E18" s="41"/>
      <c r="F18" s="42" t="s">
        <v>47</v>
      </c>
      <c r="G18" s="43">
        <v>0</v>
      </c>
      <c r="H18" s="1"/>
      <c r="I18" s="266"/>
      <c r="J18" s="267"/>
      <c r="K18" s="47">
        <f t="shared" si="0"/>
        <v>1</v>
      </c>
      <c r="L18" s="268"/>
      <c r="M18" s="45">
        <f t="shared" si="1"/>
        <v>0</v>
      </c>
      <c r="N18" s="49" t="str">
        <f t="shared" si="2"/>
        <v>----</v>
      </c>
      <c r="P18" s="3"/>
      <c r="Q18" s="3"/>
    </row>
    <row r="19" spans="1:17" ht="20.25" customHeight="1" thickBot="1">
      <c r="A19" s="1"/>
      <c r="B19" s="262" t="s">
        <v>352</v>
      </c>
      <c r="C19" s="262"/>
      <c r="D19" s="262"/>
      <c r="E19" s="262"/>
      <c r="F19" s="262"/>
      <c r="G19" s="262"/>
      <c r="H19" s="1"/>
      <c r="I19" s="50"/>
      <c r="J19" s="51"/>
      <c r="K19" s="52"/>
      <c r="L19" s="53"/>
      <c r="M19" s="54" t="s">
        <v>13</v>
      </c>
      <c r="N19" s="55">
        <f>IF(SUM(N13:N18)=0,"----",SUM((N13:N18)))</f>
        <v>134.9</v>
      </c>
      <c r="P19" s="3"/>
      <c r="Q19" s="3"/>
    </row>
    <row r="20" spans="1:17" ht="15" customHeight="1" thickBot="1">
      <c r="A20" s="1"/>
      <c r="B20" s="262"/>
      <c r="C20" s="262"/>
      <c r="D20" s="262"/>
      <c r="E20" s="262"/>
      <c r="F20" s="262"/>
      <c r="G20" s="262"/>
      <c r="H20" s="1"/>
      <c r="I20" s="20"/>
      <c r="J20" s="20"/>
      <c r="K20" s="21"/>
      <c r="L20" s="22"/>
      <c r="M20" s="23"/>
      <c r="N20" s="23"/>
      <c r="P20" s="3"/>
      <c r="Q20" s="3"/>
    </row>
    <row r="21" spans="1:17" s="12" customFormat="1" ht="25.5" customHeight="1">
      <c r="A21" s="5"/>
      <c r="B21" s="262"/>
      <c r="C21" s="262"/>
      <c r="D21" s="262"/>
      <c r="E21" s="262"/>
      <c r="F21" s="262"/>
      <c r="G21" s="262"/>
      <c r="H21" s="5"/>
      <c r="I21" s="24" t="s">
        <v>14</v>
      </c>
      <c r="J21" s="25"/>
      <c r="K21" s="25"/>
      <c r="L21" s="25"/>
      <c r="M21" s="25"/>
      <c r="N21" s="57"/>
      <c r="O21" s="11"/>
      <c r="P21" s="2"/>
      <c r="Q21" s="2"/>
    </row>
    <row r="22" spans="1:17" ht="27" customHeight="1">
      <c r="A22" s="1"/>
      <c r="B22" s="58" t="s">
        <v>15</v>
      </c>
      <c r="C22" s="59"/>
      <c r="D22" s="60"/>
      <c r="E22" s="60"/>
      <c r="F22" s="60"/>
      <c r="G22" s="61"/>
      <c r="H22" s="1"/>
      <c r="I22" s="175" t="s">
        <v>58</v>
      </c>
      <c r="J22" s="176"/>
      <c r="K22" s="176"/>
      <c r="L22" s="176"/>
      <c r="M22" s="176"/>
      <c r="N22" s="177"/>
      <c r="Q22" s="3"/>
    </row>
    <row r="23" spans="1:17" ht="12.75">
      <c r="A23" s="1"/>
      <c r="B23" s="62" t="s">
        <v>16</v>
      </c>
      <c r="D23" s="63"/>
      <c r="E23" s="63"/>
      <c r="F23" s="63"/>
      <c r="G23" s="64"/>
      <c r="H23" s="1"/>
      <c r="I23" s="178" t="str">
        <f>"For FAFSA filers, your Untaxed Income is ---&gt; $"&amp;ROUND(SUM(B25:B45),2)</f>
        <v>For FAFSA filers, your Untaxed Income is ---&gt; $509.68</v>
      </c>
      <c r="J23" s="179"/>
      <c r="K23" s="179"/>
      <c r="L23" s="179"/>
      <c r="M23" s="179"/>
      <c r="N23" s="180"/>
      <c r="P23" s="3"/>
      <c r="Q23" s="3"/>
    </row>
    <row r="24" spans="1:16" s="71" customFormat="1" ht="45" customHeight="1">
      <c r="A24" s="65"/>
      <c r="B24" s="66" t="s">
        <v>17</v>
      </c>
      <c r="C24" s="67" t="s">
        <v>18</v>
      </c>
      <c r="D24" s="67" t="s">
        <v>19</v>
      </c>
      <c r="E24" s="67" t="s">
        <v>20</v>
      </c>
      <c r="F24" s="67" t="s">
        <v>21</v>
      </c>
      <c r="G24" s="67" t="s">
        <v>22</v>
      </c>
      <c r="H24" s="65"/>
      <c r="I24" s="68" t="s">
        <v>23</v>
      </c>
      <c r="J24" s="69" t="s">
        <v>24</v>
      </c>
      <c r="K24" s="36" t="s">
        <v>25</v>
      </c>
      <c r="L24" s="36" t="s">
        <v>26</v>
      </c>
      <c r="M24" s="36" t="s">
        <v>27</v>
      </c>
      <c r="N24" s="37" t="s">
        <v>56</v>
      </c>
      <c r="O24" s="70"/>
      <c r="P24" s="2"/>
    </row>
    <row r="25" spans="1:14" ht="15" customHeight="1">
      <c r="A25" s="1"/>
      <c r="B25" s="72" t="str">
        <f aca="true" t="shared" si="3" ref="B25:B45">IF($G25=0,"----",(K25-M25)*$G25)</f>
        <v>----</v>
      </c>
      <c r="C25" s="269">
        <v>0</v>
      </c>
      <c r="D25" s="269">
        <v>0</v>
      </c>
      <c r="E25" s="269">
        <v>0</v>
      </c>
      <c r="F25" s="269">
        <v>0</v>
      </c>
      <c r="G25" s="74">
        <f aca="true" t="shared" si="4" ref="G25:G45">C25+D25/29+E25/30+F25/31</f>
        <v>0</v>
      </c>
      <c r="H25" s="1"/>
      <c r="I25" s="270" t="s">
        <v>50</v>
      </c>
      <c r="J25" s="44" t="s">
        <v>82</v>
      </c>
      <c r="K25" s="271">
        <v>218.78</v>
      </c>
      <c r="L25" s="272">
        <v>0.4217</v>
      </c>
      <c r="M25" s="273">
        <f aca="true" t="shared" si="5" ref="M25:M45">ROUND(K25*L25,2)</f>
        <v>92.26</v>
      </c>
      <c r="N25" s="75" t="str">
        <f aca="true" t="shared" si="6" ref="N25:N45">IF($G25=0,"----",M25*$G25)</f>
        <v>----</v>
      </c>
    </row>
    <row r="26" spans="1:14" ht="15" customHeight="1">
      <c r="A26" s="1"/>
      <c r="B26" s="72" t="str">
        <f t="shared" si="3"/>
        <v>----</v>
      </c>
      <c r="C26" s="269">
        <v>0</v>
      </c>
      <c r="D26" s="269">
        <v>0</v>
      </c>
      <c r="E26" s="269">
        <v>0</v>
      </c>
      <c r="F26" s="269">
        <v>0</v>
      </c>
      <c r="G26" s="74">
        <f t="shared" si="4"/>
        <v>0</v>
      </c>
      <c r="H26" s="1"/>
      <c r="I26" s="274"/>
      <c r="J26" s="44" t="s">
        <v>129</v>
      </c>
      <c r="K26" s="271">
        <v>240.65</v>
      </c>
      <c r="L26" s="272">
        <v>0.3676</v>
      </c>
      <c r="M26" s="273">
        <f t="shared" si="5"/>
        <v>88.46</v>
      </c>
      <c r="N26" s="75" t="str">
        <f t="shared" si="6"/>
        <v>----</v>
      </c>
    </row>
    <row r="27" spans="1:14" ht="15" customHeight="1">
      <c r="A27" s="1"/>
      <c r="B27" s="72">
        <f t="shared" si="3"/>
        <v>389.82096774193553</v>
      </c>
      <c r="C27" s="269">
        <v>3</v>
      </c>
      <c r="D27" s="269">
        <v>0</v>
      </c>
      <c r="E27" s="269">
        <v>0</v>
      </c>
      <c r="F27" s="269">
        <v>12</v>
      </c>
      <c r="G27" s="74">
        <f t="shared" si="4"/>
        <v>3.3870967741935485</v>
      </c>
      <c r="H27" s="1"/>
      <c r="I27" s="270" t="s">
        <v>62</v>
      </c>
      <c r="J27" s="44" t="s">
        <v>82</v>
      </c>
      <c r="K27" s="271">
        <v>171.22</v>
      </c>
      <c r="L27" s="272">
        <v>0.3278</v>
      </c>
      <c r="M27" s="273">
        <f t="shared" si="5"/>
        <v>56.13</v>
      </c>
      <c r="N27" s="75">
        <f t="shared" si="6"/>
        <v>190.11774193548388</v>
      </c>
    </row>
    <row r="28" spans="1:14" ht="15" customHeight="1" thickBot="1">
      <c r="A28" s="1"/>
      <c r="B28" s="72">
        <f t="shared" si="3"/>
        <v>119.86</v>
      </c>
      <c r="C28" s="269">
        <v>1</v>
      </c>
      <c r="D28" s="269">
        <v>0</v>
      </c>
      <c r="E28" s="269">
        <v>0</v>
      </c>
      <c r="F28" s="269">
        <v>0</v>
      </c>
      <c r="G28" s="74">
        <f t="shared" si="4"/>
        <v>1</v>
      </c>
      <c r="H28" s="1"/>
      <c r="I28" s="274"/>
      <c r="J28" s="44" t="s">
        <v>129</v>
      </c>
      <c r="K28" s="271">
        <v>188.34</v>
      </c>
      <c r="L28" s="272">
        <v>0.3636</v>
      </c>
      <c r="M28" s="273">
        <f t="shared" si="5"/>
        <v>68.48</v>
      </c>
      <c r="N28" s="75">
        <f t="shared" si="6"/>
        <v>68.48</v>
      </c>
    </row>
    <row r="29" spans="1:14" ht="15" customHeight="1" hidden="1">
      <c r="A29" s="1"/>
      <c r="B29" s="72" t="str">
        <f t="shared" si="3"/>
        <v>----</v>
      </c>
      <c r="C29" s="269">
        <v>0</v>
      </c>
      <c r="D29" s="269">
        <v>0</v>
      </c>
      <c r="E29" s="269">
        <v>0</v>
      </c>
      <c r="F29" s="269">
        <v>0</v>
      </c>
      <c r="G29" s="74">
        <f t="shared" si="4"/>
        <v>0</v>
      </c>
      <c r="H29" s="1"/>
      <c r="I29" s="275"/>
      <c r="J29" s="44"/>
      <c r="K29" s="271"/>
      <c r="L29" s="272"/>
      <c r="M29" s="273">
        <f t="shared" si="5"/>
        <v>0</v>
      </c>
      <c r="N29" s="75" t="str">
        <f t="shared" si="6"/>
        <v>----</v>
      </c>
    </row>
    <row r="30" spans="1:14" ht="15" customHeight="1" hidden="1">
      <c r="A30" s="1"/>
      <c r="B30" s="72" t="str">
        <f t="shared" si="3"/>
        <v>----</v>
      </c>
      <c r="C30" s="269">
        <v>0</v>
      </c>
      <c r="D30" s="269">
        <v>0</v>
      </c>
      <c r="E30" s="269">
        <v>0</v>
      </c>
      <c r="F30" s="269">
        <v>0</v>
      </c>
      <c r="G30" s="74">
        <f t="shared" si="4"/>
        <v>0</v>
      </c>
      <c r="H30" s="1"/>
      <c r="I30" s="275"/>
      <c r="J30" s="44"/>
      <c r="K30" s="271"/>
      <c r="L30" s="272"/>
      <c r="M30" s="273">
        <f t="shared" si="5"/>
        <v>0</v>
      </c>
      <c r="N30" s="75" t="str">
        <f t="shared" si="6"/>
        <v>----</v>
      </c>
    </row>
    <row r="31" spans="1:14" ht="15" customHeight="1" hidden="1">
      <c r="A31" s="1"/>
      <c r="B31" s="72" t="str">
        <f t="shared" si="3"/>
        <v>----</v>
      </c>
      <c r="C31" s="269">
        <v>0</v>
      </c>
      <c r="D31" s="269">
        <v>0</v>
      </c>
      <c r="E31" s="269">
        <v>0</v>
      </c>
      <c r="F31" s="269">
        <v>0</v>
      </c>
      <c r="G31" s="74">
        <f t="shared" si="4"/>
        <v>0</v>
      </c>
      <c r="H31" s="1"/>
      <c r="I31" s="275"/>
      <c r="J31" s="44"/>
      <c r="K31" s="271"/>
      <c r="L31" s="272"/>
      <c r="M31" s="273">
        <f t="shared" si="5"/>
        <v>0</v>
      </c>
      <c r="N31" s="75" t="str">
        <f t="shared" si="6"/>
        <v>----</v>
      </c>
    </row>
    <row r="32" spans="1:14" ht="15" customHeight="1" hidden="1">
      <c r="A32" s="1"/>
      <c r="B32" s="72" t="str">
        <f t="shared" si="3"/>
        <v>----</v>
      </c>
      <c r="C32" s="269">
        <v>0</v>
      </c>
      <c r="D32" s="269">
        <v>0</v>
      </c>
      <c r="E32" s="269">
        <v>0</v>
      </c>
      <c r="F32" s="269">
        <v>0</v>
      </c>
      <c r="G32" s="74">
        <f t="shared" si="4"/>
        <v>0</v>
      </c>
      <c r="H32" s="1"/>
      <c r="I32" s="275"/>
      <c r="J32" s="44"/>
      <c r="K32" s="271"/>
      <c r="L32" s="272"/>
      <c r="M32" s="273">
        <f t="shared" si="5"/>
        <v>0</v>
      </c>
      <c r="N32" s="75" t="str">
        <f t="shared" si="6"/>
        <v>----</v>
      </c>
    </row>
    <row r="33" spans="1:14" ht="15" customHeight="1" hidden="1">
      <c r="A33" s="1"/>
      <c r="B33" s="72" t="str">
        <f t="shared" si="3"/>
        <v>----</v>
      </c>
      <c r="C33" s="269">
        <v>0</v>
      </c>
      <c r="D33" s="269">
        <v>0</v>
      </c>
      <c r="E33" s="269">
        <v>0</v>
      </c>
      <c r="F33" s="269">
        <v>0</v>
      </c>
      <c r="G33" s="74">
        <f t="shared" si="4"/>
        <v>0</v>
      </c>
      <c r="H33" s="1"/>
      <c r="I33" s="275"/>
      <c r="J33" s="44"/>
      <c r="K33" s="271"/>
      <c r="L33" s="272"/>
      <c r="M33" s="273">
        <f t="shared" si="5"/>
        <v>0</v>
      </c>
      <c r="N33" s="75" t="str">
        <f t="shared" si="6"/>
        <v>----</v>
      </c>
    </row>
    <row r="34" spans="1:14" ht="15" customHeight="1" hidden="1">
      <c r="A34" s="1"/>
      <c r="B34" s="72" t="str">
        <f t="shared" si="3"/>
        <v>----</v>
      </c>
      <c r="C34" s="269">
        <v>0</v>
      </c>
      <c r="D34" s="269">
        <v>0</v>
      </c>
      <c r="E34" s="269">
        <v>0</v>
      </c>
      <c r="F34" s="269">
        <v>0</v>
      </c>
      <c r="G34" s="74">
        <f t="shared" si="4"/>
        <v>0</v>
      </c>
      <c r="H34" s="1"/>
      <c r="I34" s="275"/>
      <c r="J34" s="44"/>
      <c r="K34" s="271"/>
      <c r="L34" s="272"/>
      <c r="M34" s="273">
        <f t="shared" si="5"/>
        <v>0</v>
      </c>
      <c r="N34" s="75" t="str">
        <f t="shared" si="6"/>
        <v>----</v>
      </c>
    </row>
    <row r="35" spans="1:14" ht="15" customHeight="1" hidden="1">
      <c r="A35" s="1"/>
      <c r="B35" s="72" t="str">
        <f t="shared" si="3"/>
        <v>----</v>
      </c>
      <c r="C35" s="269">
        <v>0</v>
      </c>
      <c r="D35" s="269">
        <v>0</v>
      </c>
      <c r="E35" s="269">
        <v>0</v>
      </c>
      <c r="F35" s="269">
        <v>0</v>
      </c>
      <c r="G35" s="74">
        <f t="shared" si="4"/>
        <v>0</v>
      </c>
      <c r="H35" s="1"/>
      <c r="I35" s="275"/>
      <c r="J35" s="44"/>
      <c r="K35" s="271"/>
      <c r="L35" s="272"/>
      <c r="M35" s="273">
        <f t="shared" si="5"/>
        <v>0</v>
      </c>
      <c r="N35" s="75" t="str">
        <f t="shared" si="6"/>
        <v>----</v>
      </c>
    </row>
    <row r="36" spans="1:14" ht="15" customHeight="1" hidden="1">
      <c r="A36" s="1"/>
      <c r="B36" s="72" t="str">
        <f t="shared" si="3"/>
        <v>----</v>
      </c>
      <c r="C36" s="269">
        <v>0</v>
      </c>
      <c r="D36" s="269">
        <v>0</v>
      </c>
      <c r="E36" s="269">
        <v>0</v>
      </c>
      <c r="F36" s="269">
        <v>0</v>
      </c>
      <c r="G36" s="74">
        <f t="shared" si="4"/>
        <v>0</v>
      </c>
      <c r="H36" s="1"/>
      <c r="I36" s="275"/>
      <c r="J36" s="44"/>
      <c r="K36" s="271"/>
      <c r="L36" s="272"/>
      <c r="M36" s="273">
        <f t="shared" si="5"/>
        <v>0</v>
      </c>
      <c r="N36" s="75" t="str">
        <f t="shared" si="6"/>
        <v>----</v>
      </c>
    </row>
    <row r="37" spans="1:14" ht="15" customHeight="1" hidden="1">
      <c r="A37" s="1"/>
      <c r="B37" s="72" t="str">
        <f t="shared" si="3"/>
        <v>----</v>
      </c>
      <c r="C37" s="269">
        <v>0</v>
      </c>
      <c r="D37" s="269">
        <v>0</v>
      </c>
      <c r="E37" s="269">
        <v>0</v>
      </c>
      <c r="F37" s="269">
        <v>0</v>
      </c>
      <c r="G37" s="74">
        <f t="shared" si="4"/>
        <v>0</v>
      </c>
      <c r="H37" s="1"/>
      <c r="I37" s="275"/>
      <c r="J37" s="44"/>
      <c r="K37" s="271"/>
      <c r="L37" s="272"/>
      <c r="M37" s="273">
        <f t="shared" si="5"/>
        <v>0</v>
      </c>
      <c r="N37" s="75" t="str">
        <f t="shared" si="6"/>
        <v>----</v>
      </c>
    </row>
    <row r="38" spans="1:14" ht="15" customHeight="1" hidden="1">
      <c r="A38" s="1"/>
      <c r="B38" s="72" t="str">
        <f t="shared" si="3"/>
        <v>----</v>
      </c>
      <c r="C38" s="269">
        <v>0</v>
      </c>
      <c r="D38" s="269">
        <v>0</v>
      </c>
      <c r="E38" s="269">
        <v>0</v>
      </c>
      <c r="F38" s="269">
        <v>0</v>
      </c>
      <c r="G38" s="74">
        <f t="shared" si="4"/>
        <v>0</v>
      </c>
      <c r="H38" s="1"/>
      <c r="I38" s="275"/>
      <c r="J38" s="44"/>
      <c r="K38" s="271"/>
      <c r="L38" s="272"/>
      <c r="M38" s="273">
        <f t="shared" si="5"/>
        <v>0</v>
      </c>
      <c r="N38" s="75" t="str">
        <f t="shared" si="6"/>
        <v>----</v>
      </c>
    </row>
    <row r="39" spans="1:14" ht="15" customHeight="1" hidden="1">
      <c r="A39" s="1"/>
      <c r="B39" s="72" t="str">
        <f t="shared" si="3"/>
        <v>----</v>
      </c>
      <c r="C39" s="269">
        <v>0</v>
      </c>
      <c r="D39" s="269">
        <v>0</v>
      </c>
      <c r="E39" s="269">
        <v>0</v>
      </c>
      <c r="F39" s="269">
        <v>0</v>
      </c>
      <c r="G39" s="74">
        <f t="shared" si="4"/>
        <v>0</v>
      </c>
      <c r="H39" s="1"/>
      <c r="I39" s="275"/>
      <c r="J39" s="44"/>
      <c r="K39" s="271"/>
      <c r="L39" s="272"/>
      <c r="M39" s="273">
        <f t="shared" si="5"/>
        <v>0</v>
      </c>
      <c r="N39" s="75" t="str">
        <f t="shared" si="6"/>
        <v>----</v>
      </c>
    </row>
    <row r="40" spans="1:14" ht="15" customHeight="1" hidden="1">
      <c r="A40" s="1"/>
      <c r="B40" s="72" t="str">
        <f t="shared" si="3"/>
        <v>----</v>
      </c>
      <c r="C40" s="269">
        <v>0</v>
      </c>
      <c r="D40" s="269">
        <v>0</v>
      </c>
      <c r="E40" s="269">
        <v>0</v>
      </c>
      <c r="F40" s="269">
        <v>0</v>
      </c>
      <c r="G40" s="74">
        <f t="shared" si="4"/>
        <v>0</v>
      </c>
      <c r="H40" s="1"/>
      <c r="I40" s="275"/>
      <c r="J40" s="44"/>
      <c r="K40" s="271"/>
      <c r="L40" s="272"/>
      <c r="M40" s="273">
        <f t="shared" si="5"/>
        <v>0</v>
      </c>
      <c r="N40" s="75" t="str">
        <f t="shared" si="6"/>
        <v>----</v>
      </c>
    </row>
    <row r="41" spans="1:14" ht="15" customHeight="1" hidden="1">
      <c r="A41" s="1"/>
      <c r="B41" s="72" t="str">
        <f t="shared" si="3"/>
        <v>----</v>
      </c>
      <c r="C41" s="269">
        <v>0</v>
      </c>
      <c r="D41" s="269">
        <v>0</v>
      </c>
      <c r="E41" s="269">
        <v>0</v>
      </c>
      <c r="F41" s="269">
        <v>0</v>
      </c>
      <c r="G41" s="74">
        <f t="shared" si="4"/>
        <v>0</v>
      </c>
      <c r="H41" s="1"/>
      <c r="I41" s="275"/>
      <c r="J41" s="44"/>
      <c r="K41" s="271"/>
      <c r="L41" s="272"/>
      <c r="M41" s="273">
        <f t="shared" si="5"/>
        <v>0</v>
      </c>
      <c r="N41" s="75" t="str">
        <f t="shared" si="6"/>
        <v>----</v>
      </c>
    </row>
    <row r="42" spans="1:14" ht="15" customHeight="1" hidden="1">
      <c r="A42" s="1"/>
      <c r="B42" s="72" t="str">
        <f t="shared" si="3"/>
        <v>----</v>
      </c>
      <c r="C42" s="269">
        <v>0</v>
      </c>
      <c r="D42" s="269">
        <v>0</v>
      </c>
      <c r="E42" s="269">
        <v>0</v>
      </c>
      <c r="F42" s="269">
        <v>0</v>
      </c>
      <c r="G42" s="74">
        <f t="shared" si="4"/>
        <v>0</v>
      </c>
      <c r="H42" s="1"/>
      <c r="I42" s="275"/>
      <c r="J42" s="44"/>
      <c r="K42" s="271"/>
      <c r="L42" s="272"/>
      <c r="M42" s="273">
        <f t="shared" si="5"/>
        <v>0</v>
      </c>
      <c r="N42" s="75" t="str">
        <f t="shared" si="6"/>
        <v>----</v>
      </c>
    </row>
    <row r="43" spans="1:14" ht="15" customHeight="1" hidden="1">
      <c r="A43" s="1"/>
      <c r="B43" s="72" t="str">
        <f t="shared" si="3"/>
        <v>----</v>
      </c>
      <c r="C43" s="269">
        <v>0</v>
      </c>
      <c r="D43" s="269">
        <v>0</v>
      </c>
      <c r="E43" s="269">
        <v>0</v>
      </c>
      <c r="F43" s="269">
        <v>0</v>
      </c>
      <c r="G43" s="74">
        <f t="shared" si="4"/>
        <v>0</v>
      </c>
      <c r="H43" s="1"/>
      <c r="I43" s="276"/>
      <c r="J43" s="47"/>
      <c r="K43" s="271"/>
      <c r="L43" s="272"/>
      <c r="M43" s="277">
        <f t="shared" si="5"/>
        <v>0</v>
      </c>
      <c r="N43" s="76" t="str">
        <f t="shared" si="6"/>
        <v>----</v>
      </c>
    </row>
    <row r="44" spans="1:14" ht="15" customHeight="1" hidden="1">
      <c r="A44" s="1"/>
      <c r="B44" s="72" t="str">
        <f t="shared" si="3"/>
        <v>----</v>
      </c>
      <c r="C44" s="269">
        <v>0</v>
      </c>
      <c r="D44" s="269">
        <v>0</v>
      </c>
      <c r="E44" s="269">
        <v>0</v>
      </c>
      <c r="F44" s="269">
        <v>0</v>
      </c>
      <c r="G44" s="74">
        <f t="shared" si="4"/>
        <v>0</v>
      </c>
      <c r="H44" s="1"/>
      <c r="I44" s="276"/>
      <c r="J44" s="47"/>
      <c r="K44" s="271"/>
      <c r="L44" s="272"/>
      <c r="M44" s="277">
        <f t="shared" si="5"/>
        <v>0</v>
      </c>
      <c r="N44" s="76" t="str">
        <f t="shared" si="6"/>
        <v>----</v>
      </c>
    </row>
    <row r="45" spans="1:14" ht="15" customHeight="1" hidden="1">
      <c r="A45" s="1"/>
      <c r="B45" s="72" t="str">
        <f t="shared" si="3"/>
        <v>----</v>
      </c>
      <c r="C45" s="269">
        <v>0</v>
      </c>
      <c r="D45" s="269">
        <v>0</v>
      </c>
      <c r="E45" s="269">
        <v>0</v>
      </c>
      <c r="F45" s="269">
        <v>0</v>
      </c>
      <c r="G45" s="74">
        <f t="shared" si="4"/>
        <v>0</v>
      </c>
      <c r="H45" s="1"/>
      <c r="I45" s="276"/>
      <c r="J45" s="47"/>
      <c r="K45" s="271"/>
      <c r="L45" s="272"/>
      <c r="M45" s="277">
        <f t="shared" si="5"/>
        <v>0</v>
      </c>
      <c r="N45" s="77" t="str">
        <f t="shared" si="6"/>
        <v>----</v>
      </c>
    </row>
    <row r="46" spans="1:16" ht="20.25" customHeight="1" thickBot="1">
      <c r="A46" s="1"/>
      <c r="B46" s="78">
        <f>SUM(B25:B45)</f>
        <v>509.68096774193555</v>
      </c>
      <c r="C46" s="278" t="s">
        <v>353</v>
      </c>
      <c r="D46" s="79"/>
      <c r="E46" s="279"/>
      <c r="F46" s="79"/>
      <c r="G46" s="79"/>
      <c r="H46" s="1"/>
      <c r="I46" s="80"/>
      <c r="J46" s="52"/>
      <c r="K46" s="81"/>
      <c r="L46" s="82"/>
      <c r="M46" s="54" t="s">
        <v>29</v>
      </c>
      <c r="N46" s="83">
        <f>IF(SUM(N25:N45)=0,"----",SUM((N25:N45)))</f>
        <v>258.5977419354839</v>
      </c>
      <c r="P46" s="84"/>
    </row>
    <row r="47" spans="1:14" ht="15" customHeight="1" thickBot="1">
      <c r="A47" s="1"/>
      <c r="B47" s="280" t="s">
        <v>354</v>
      </c>
      <c r="C47" s="280"/>
      <c r="D47" s="280"/>
      <c r="E47" s="280"/>
      <c r="F47" s="280"/>
      <c r="G47" s="280"/>
      <c r="H47" s="1"/>
      <c r="I47" s="85"/>
      <c r="J47" s="21"/>
      <c r="K47" s="86"/>
      <c r="L47" s="87"/>
      <c r="M47" s="23"/>
      <c r="N47" s="23"/>
    </row>
    <row r="48" spans="1:17" ht="25.5" customHeight="1">
      <c r="A48" s="1"/>
      <c r="B48" s="280"/>
      <c r="C48" s="280"/>
      <c r="D48" s="280"/>
      <c r="E48" s="280"/>
      <c r="F48" s="280"/>
      <c r="G48" s="280"/>
      <c r="H48" s="1"/>
      <c r="I48" s="24" t="s">
        <v>30</v>
      </c>
      <c r="J48" s="25"/>
      <c r="K48" s="88"/>
      <c r="L48" s="89"/>
      <c r="M48" s="90" t="s">
        <v>31</v>
      </c>
      <c r="N48" s="26"/>
      <c r="P48" s="91"/>
      <c r="Q48" s="3"/>
    </row>
    <row r="49" spans="1:17" ht="28.5" customHeight="1">
      <c r="A49" s="1"/>
      <c r="B49" s="92" t="s">
        <v>32</v>
      </c>
      <c r="C49" s="93"/>
      <c r="D49" s="93"/>
      <c r="E49" s="94"/>
      <c r="F49" s="71"/>
      <c r="G49" s="95" t="s">
        <v>33</v>
      </c>
      <c r="H49" s="1"/>
      <c r="I49" s="175" t="s">
        <v>34</v>
      </c>
      <c r="J49" s="186"/>
      <c r="K49" s="186"/>
      <c r="L49" s="186"/>
      <c r="M49" s="184" t="s">
        <v>35</v>
      </c>
      <c r="N49" s="185"/>
      <c r="P49" s="3"/>
      <c r="Q49" s="3"/>
    </row>
    <row r="50" spans="1:17" ht="45" customHeight="1">
      <c r="A50" s="1"/>
      <c r="B50" s="67" t="s">
        <v>18</v>
      </c>
      <c r="C50" s="67" t="s">
        <v>36</v>
      </c>
      <c r="D50" s="67" t="s">
        <v>37</v>
      </c>
      <c r="E50" s="67" t="s">
        <v>38</v>
      </c>
      <c r="G50" s="67" t="s">
        <v>39</v>
      </c>
      <c r="H50" s="1"/>
      <c r="I50" s="96" t="s">
        <v>27</v>
      </c>
      <c r="J50" s="97" t="s">
        <v>56</v>
      </c>
      <c r="K50" s="3"/>
      <c r="L50" s="3"/>
      <c r="M50" s="36" t="s">
        <v>40</v>
      </c>
      <c r="N50" s="37" t="s">
        <v>56</v>
      </c>
      <c r="Q50" s="3"/>
    </row>
    <row r="51" spans="1:17" ht="15" customHeight="1" thickBot="1">
      <c r="A51" s="1"/>
      <c r="B51" s="98">
        <f>SUM(C25:C45)</f>
        <v>4</v>
      </c>
      <c r="C51" s="98">
        <f>COUNTIF(D25:F45,"&gt;=16")</f>
        <v>0</v>
      </c>
      <c r="D51" s="98">
        <f>(COUNTIF(D25:F45,"&gt;0")-C51)/2</f>
        <v>0.5</v>
      </c>
      <c r="E51" s="98">
        <f>SUM(B51:D51)</f>
        <v>4.5</v>
      </c>
      <c r="G51" s="99">
        <v>0</v>
      </c>
      <c r="H51" s="1"/>
      <c r="I51" s="100">
        <v>24</v>
      </c>
      <c r="J51" s="101">
        <f>IF(E51*I51=0,"----",E51*I51)</f>
        <v>108</v>
      </c>
      <c r="K51" s="3"/>
      <c r="L51" s="3"/>
      <c r="M51" s="102">
        <v>12</v>
      </c>
      <c r="N51" s="76" t="str">
        <f>IF($G51=0,"----",M51*$G51)</f>
        <v>----</v>
      </c>
      <c r="Q51" s="3"/>
    </row>
    <row r="52" spans="1:17" ht="15" customHeight="1" thickBot="1">
      <c r="A52" s="1"/>
      <c r="B52" s="12"/>
      <c r="C52" s="12"/>
      <c r="D52" s="12"/>
      <c r="E52" s="103"/>
      <c r="F52" s="12"/>
      <c r="G52" s="12"/>
      <c r="H52" s="1"/>
      <c r="I52" s="104"/>
      <c r="J52" s="105"/>
      <c r="K52" s="105"/>
      <c r="L52" s="106"/>
      <c r="M52" s="54" t="s">
        <v>41</v>
      </c>
      <c r="N52" s="83">
        <f>IF(SUM(J51,N51)=0,"----",SUM((J51,N51)))</f>
        <v>108</v>
      </c>
      <c r="Q52" s="3"/>
    </row>
    <row r="53" spans="1:15" s="12" customFormat="1" ht="15" customHeight="1">
      <c r="A53" s="5"/>
      <c r="B53" s="280" t="s">
        <v>355</v>
      </c>
      <c r="C53" s="280"/>
      <c r="D53" s="280"/>
      <c r="E53" s="280"/>
      <c r="F53" s="280"/>
      <c r="G53" s="280"/>
      <c r="H53" s="5"/>
      <c r="I53" s="2"/>
      <c r="J53" s="2"/>
      <c r="K53" s="2"/>
      <c r="L53" s="2"/>
      <c r="M53" s="2"/>
      <c r="N53" s="2"/>
      <c r="O53" s="11"/>
    </row>
    <row r="54" spans="1:15" s="12" customFormat="1" ht="20.25" customHeight="1">
      <c r="A54" s="5"/>
      <c r="B54" s="280"/>
      <c r="C54" s="280"/>
      <c r="D54" s="280"/>
      <c r="E54" s="280"/>
      <c r="F54" s="280"/>
      <c r="G54" s="280"/>
      <c r="H54" s="5"/>
      <c r="I54" s="2"/>
      <c r="J54" s="2"/>
      <c r="K54" s="2"/>
      <c r="L54" s="2"/>
      <c r="M54" s="23" t="s">
        <v>42</v>
      </c>
      <c r="N54" s="107">
        <f>SUM(N19,N46,N52)</f>
        <v>501.4977419354839</v>
      </c>
      <c r="O54" s="11"/>
    </row>
    <row r="55" spans="1:14" ht="15.75" thickBot="1">
      <c r="A55" s="1"/>
      <c r="B55" s="281"/>
      <c r="C55" s="281"/>
      <c r="D55" s="281"/>
      <c r="E55" s="281"/>
      <c r="F55" s="281"/>
      <c r="G55" s="281"/>
      <c r="H55" s="1"/>
      <c r="M55" s="23" t="s">
        <v>43</v>
      </c>
      <c r="N55" s="107">
        <f>IF(G57=0,"",G57)</f>
        <v>1305</v>
      </c>
    </row>
    <row r="56" spans="1:14" ht="19.5" customHeight="1" thickBot="1">
      <c r="A56" s="1"/>
      <c r="B56" s="108" t="s">
        <v>44</v>
      </c>
      <c r="C56" s="109"/>
      <c r="D56" s="109"/>
      <c r="E56" s="109"/>
      <c r="F56" s="109"/>
      <c r="G56" s="110"/>
      <c r="H56" s="1"/>
      <c r="M56" s="111" t="s">
        <v>54</v>
      </c>
      <c r="N56" s="112">
        <f>IF(G57=0,"",SUM(N54:N55))</f>
        <v>1806.4977419354839</v>
      </c>
    </row>
    <row r="57" spans="1:14" ht="19.5" customHeight="1">
      <c r="A57" s="1"/>
      <c r="B57" s="183" t="s">
        <v>45</v>
      </c>
      <c r="C57" s="183"/>
      <c r="D57" s="183"/>
      <c r="E57" s="183"/>
      <c r="F57" s="183"/>
      <c r="G57" s="113">
        <v>1305</v>
      </c>
      <c r="H57" s="1"/>
      <c r="M57" s="111"/>
      <c r="N57" s="114" t="s">
        <v>356</v>
      </c>
    </row>
    <row r="58" spans="1:14" ht="19.5" customHeight="1">
      <c r="A58" s="1"/>
      <c r="B58" s="1"/>
      <c r="C58" s="1"/>
      <c r="D58" s="1"/>
      <c r="E58" s="1"/>
      <c r="F58" s="1"/>
      <c r="G58" s="1"/>
      <c r="H58" s="1"/>
      <c r="I58" s="115" t="s">
        <v>46</v>
      </c>
      <c r="J58" s="29"/>
      <c r="K58" s="29"/>
      <c r="L58" s="29"/>
      <c r="M58" s="29"/>
      <c r="N58" s="29"/>
    </row>
    <row r="59" spans="1:17" ht="12.75">
      <c r="A59" s="2"/>
      <c r="B59" s="2"/>
      <c r="C59" s="2"/>
      <c r="D59" s="2"/>
      <c r="E59" s="2"/>
      <c r="F59" s="2"/>
      <c r="H59" s="2"/>
      <c r="P59" s="116"/>
      <c r="Q59" s="116"/>
    </row>
    <row r="60" ht="28.5" customHeight="1">
      <c r="H60" s="2"/>
    </row>
    <row r="61" ht="12.75">
      <c r="H61" s="2"/>
    </row>
    <row r="80" spans="2:7" ht="12.75">
      <c r="B80" s="11"/>
      <c r="C80" s="11"/>
      <c r="G80" s="12"/>
    </row>
  </sheetData>
  <sheetProtection/>
  <mergeCells count="22">
    <mergeCell ref="B53:G55"/>
    <mergeCell ref="B57:F57"/>
    <mergeCell ref="J6:N6"/>
    <mergeCell ref="I22:N22"/>
    <mergeCell ref="I23:N23"/>
    <mergeCell ref="I25:I26"/>
    <mergeCell ref="I27:I28"/>
    <mergeCell ref="B47:G48"/>
    <mergeCell ref="I49:L49"/>
    <mergeCell ref="M49:N49"/>
    <mergeCell ref="C8:D8"/>
    <mergeCell ref="E8:G8"/>
    <mergeCell ref="B9:G9"/>
    <mergeCell ref="B10:G11"/>
    <mergeCell ref="I11:N11"/>
    <mergeCell ref="B19:G21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Guinea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210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40003</v>
      </c>
      <c r="J13" s="119">
        <v>40081</v>
      </c>
      <c r="K13" s="44">
        <f>+J13-I13+1</f>
        <v>79</v>
      </c>
      <c r="L13" s="129">
        <v>1.62</v>
      </c>
      <c r="M13" s="130">
        <f>ROUND(K13*L13,2)</f>
        <v>127.98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223</v>
      </c>
      <c r="K20" s="125">
        <v>177.13</v>
      </c>
      <c r="L20" s="122">
        <v>0.35</v>
      </c>
      <c r="M20" s="126">
        <f>ROUND(K20*L20,2)</f>
        <v>62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32:F32"/>
    <mergeCell ref="I11:N11"/>
    <mergeCell ref="I17:N17"/>
    <mergeCell ref="I18:N18"/>
    <mergeCell ref="I24:L24"/>
    <mergeCell ref="M24:N24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Guyana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192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39868</v>
      </c>
      <c r="J13" s="119">
        <v>39926</v>
      </c>
      <c r="K13" s="44">
        <f>+J13-I13+1</f>
        <v>59</v>
      </c>
      <c r="L13" s="129">
        <v>2.5</v>
      </c>
      <c r="M13" s="130">
        <f>ROUND(K13*L13,2)</f>
        <v>147.5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28</v>
      </c>
      <c r="K20" s="125">
        <v>211.27</v>
      </c>
      <c r="L20" s="122">
        <v>0.5</v>
      </c>
      <c r="M20" s="126">
        <f>ROUND(K20*L20,2)</f>
        <v>105.64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2:F32"/>
    <mergeCell ref="I11:N11"/>
    <mergeCell ref="I17:N17"/>
    <mergeCell ref="I18:N18"/>
    <mergeCell ref="I24:L24"/>
    <mergeCell ref="M24:N24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Q5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18.28125" style="2" customWidth="1"/>
    <col min="10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Honduras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154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39870</v>
      </c>
      <c r="J13" s="119">
        <v>39948</v>
      </c>
      <c r="K13" s="44">
        <f>+J13-I13+1</f>
        <v>79</v>
      </c>
      <c r="L13" s="129">
        <v>3.06</v>
      </c>
      <c r="M13" s="130">
        <f>ROUND(K13*L13,2)</f>
        <v>241.74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40021</v>
      </c>
      <c r="J14" s="119">
        <v>40086</v>
      </c>
      <c r="K14" s="44">
        <f>+J14-I14+1</f>
        <v>66</v>
      </c>
      <c r="L14" s="129">
        <v>3.06</v>
      </c>
      <c r="M14" s="130">
        <f>ROUND(K14*L14,2)</f>
        <v>201.96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$"&amp;ROUND(SUM(B21:B24),2)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37" t="s">
        <v>155</v>
      </c>
      <c r="J21" s="134" t="s">
        <v>28</v>
      </c>
      <c r="K21" s="135">
        <f>6100/18.95</f>
        <v>321.89973614775727</v>
      </c>
      <c r="L21" s="136">
        <v>0.12</v>
      </c>
      <c r="M21" s="126">
        <f>ROUND(K21*L21,2)</f>
        <v>38.63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37" t="s">
        <v>156</v>
      </c>
      <c r="J22" s="134" t="s">
        <v>28</v>
      </c>
      <c r="K22" s="135">
        <f>5500/18.95</f>
        <v>290.23746701846966</v>
      </c>
      <c r="L22" s="138">
        <v>0.09</v>
      </c>
      <c r="M22" s="126">
        <f>ROUND(K22*L22,2)</f>
        <v>26.12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37" t="s">
        <v>157</v>
      </c>
      <c r="J23" s="134" t="s">
        <v>28</v>
      </c>
      <c r="K23" s="135">
        <f>5100/18.95</f>
        <v>269.1292875989446</v>
      </c>
      <c r="L23" s="138">
        <v>0.12</v>
      </c>
      <c r="M23" s="126">
        <f>ROUND(K23*L23,2)</f>
        <v>32.3</v>
      </c>
      <c r="N23" s="75" t="str">
        <f>IF($G23=0,"----",M23*$G23)</f>
        <v>----</v>
      </c>
    </row>
    <row r="24" spans="1:14" ht="15" customHeight="1" thickBo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37" t="s">
        <v>158</v>
      </c>
      <c r="J24" s="134" t="s">
        <v>28</v>
      </c>
      <c r="K24" s="135">
        <f>4300/18.95</f>
        <v>226.91292875989447</v>
      </c>
      <c r="L24" s="138">
        <v>0.08</v>
      </c>
      <c r="M24" s="126">
        <f>ROUND(K24*L24,2)</f>
        <v>18.15</v>
      </c>
      <c r="N24" s="75" t="str">
        <f>IF($G24=0,"----",M24*$G24)</f>
        <v>----</v>
      </c>
    </row>
    <row r="25" spans="1:16" ht="20.25" customHeight="1" thickBot="1">
      <c r="A25" s="1"/>
      <c r="B25" s="78">
        <f>SUM(B21:B24)</f>
        <v>0</v>
      </c>
      <c r="C25" s="79"/>
      <c r="D25" s="79"/>
      <c r="E25" s="79"/>
      <c r="F25" s="79"/>
      <c r="G25" s="79"/>
      <c r="H25" s="1"/>
      <c r="I25" s="80"/>
      <c r="J25" s="52"/>
      <c r="K25" s="81"/>
      <c r="L25" s="82"/>
      <c r="M25" s="54" t="s">
        <v>29</v>
      </c>
      <c r="N25" s="83" t="str">
        <f>IF(SUM(N21:N24)=0,"----",SUM((N21:N24)))</f>
        <v>----</v>
      </c>
      <c r="P25" s="84"/>
    </row>
    <row r="26" spans="1:14" ht="15" customHeight="1" thickBot="1">
      <c r="A26" s="1"/>
      <c r="B26" s="79"/>
      <c r="C26" s="79"/>
      <c r="D26" s="79"/>
      <c r="E26" s="79"/>
      <c r="F26" s="79"/>
      <c r="H26" s="1"/>
      <c r="I26" s="85"/>
      <c r="J26" s="21"/>
      <c r="K26" s="86"/>
      <c r="L26" s="87"/>
      <c r="M26" s="23"/>
      <c r="N26" s="23"/>
    </row>
    <row r="27" spans="1:17" ht="25.5" customHeight="1">
      <c r="A27" s="1"/>
      <c r="B27" s="71"/>
      <c r="C27" s="2"/>
      <c r="D27" s="2"/>
      <c r="E27" s="2"/>
      <c r="F27" s="71"/>
      <c r="H27" s="1"/>
      <c r="I27" s="24" t="s">
        <v>30</v>
      </c>
      <c r="J27" s="25"/>
      <c r="K27" s="88"/>
      <c r="L27" s="89"/>
      <c r="M27" s="90" t="s">
        <v>31</v>
      </c>
      <c r="N27" s="26"/>
      <c r="P27" s="91"/>
      <c r="Q27" s="3"/>
    </row>
    <row r="28" spans="1:17" ht="28.5" customHeight="1">
      <c r="A28" s="1"/>
      <c r="B28" s="92" t="s">
        <v>32</v>
      </c>
      <c r="C28" s="93"/>
      <c r="D28" s="93"/>
      <c r="E28" s="94"/>
      <c r="F28" s="71"/>
      <c r="G28" s="95" t="s">
        <v>33</v>
      </c>
      <c r="H28" s="1"/>
      <c r="I28" s="175" t="s">
        <v>34</v>
      </c>
      <c r="J28" s="186"/>
      <c r="K28" s="186"/>
      <c r="L28" s="186"/>
      <c r="M28" s="184" t="s">
        <v>35</v>
      </c>
      <c r="N28" s="185"/>
      <c r="P28" s="3"/>
      <c r="Q28" s="3"/>
    </row>
    <row r="29" spans="1:17" ht="45" customHeight="1">
      <c r="A29" s="1"/>
      <c r="B29" s="67" t="s">
        <v>18</v>
      </c>
      <c r="C29" s="67" t="s">
        <v>36</v>
      </c>
      <c r="D29" s="67" t="s">
        <v>37</v>
      </c>
      <c r="E29" s="67" t="s">
        <v>38</v>
      </c>
      <c r="G29" s="67" t="s">
        <v>39</v>
      </c>
      <c r="H29" s="1"/>
      <c r="I29" s="96" t="s">
        <v>27</v>
      </c>
      <c r="J29" s="97" t="s">
        <v>56</v>
      </c>
      <c r="K29" s="3"/>
      <c r="L29" s="3"/>
      <c r="M29" s="36" t="s">
        <v>40</v>
      </c>
      <c r="N29" s="37" t="s">
        <v>56</v>
      </c>
      <c r="Q29" s="3"/>
    </row>
    <row r="30" spans="1:17" ht="15" customHeight="1" thickBot="1">
      <c r="A30" s="1"/>
      <c r="B30" s="98">
        <f>SUM(C21:C24)</f>
        <v>0</v>
      </c>
      <c r="C30" s="98">
        <f>COUNTIF(D21:F24,"&gt;=16")</f>
        <v>0</v>
      </c>
      <c r="D30" s="98">
        <f>(COUNTIF(D21:F24,"&gt;0")-C30)/2</f>
        <v>0</v>
      </c>
      <c r="E30" s="98">
        <f>SUM(B30:D30)</f>
        <v>0</v>
      </c>
      <c r="G30" s="99">
        <v>0</v>
      </c>
      <c r="H30" s="1"/>
      <c r="I30" s="100">
        <v>24</v>
      </c>
      <c r="J30" s="101" t="str">
        <f>IF(E30*I30=0,"----",E30*I30)</f>
        <v>----</v>
      </c>
      <c r="K30" s="3"/>
      <c r="L30" s="3"/>
      <c r="M30" s="102">
        <v>12</v>
      </c>
      <c r="N30" s="76" t="str">
        <f>IF($G30=0,"----",M30*$G30)</f>
        <v>----</v>
      </c>
      <c r="Q30" s="3"/>
    </row>
    <row r="31" spans="1:17" ht="15" customHeight="1" thickBot="1">
      <c r="A31" s="1"/>
      <c r="B31" s="12"/>
      <c r="C31" s="12"/>
      <c r="D31" s="12"/>
      <c r="E31" s="103"/>
      <c r="F31" s="12"/>
      <c r="G31" s="12"/>
      <c r="H31" s="1"/>
      <c r="I31" s="104"/>
      <c r="J31" s="105"/>
      <c r="K31" s="105"/>
      <c r="L31" s="106"/>
      <c r="M31" s="54" t="s">
        <v>41</v>
      </c>
      <c r="N31" s="83" t="str">
        <f>IF(SUM(J30,N30)=0,"----",SUM((J30,N30)))</f>
        <v>----</v>
      </c>
      <c r="Q31" s="3"/>
    </row>
    <row r="32" spans="1:15" s="12" customFormat="1" ht="15" customHeight="1">
      <c r="A32" s="5"/>
      <c r="E32" s="2"/>
      <c r="F32" s="2"/>
      <c r="H32" s="5"/>
      <c r="I32" s="2"/>
      <c r="J32" s="2"/>
      <c r="K32" s="2"/>
      <c r="L32" s="2"/>
      <c r="M32" s="2"/>
      <c r="N32" s="2"/>
      <c r="O32" s="11"/>
    </row>
    <row r="33" spans="1:15" s="12" customFormat="1" ht="20.25" customHeight="1">
      <c r="A33" s="5"/>
      <c r="H33" s="5"/>
      <c r="I33" s="2"/>
      <c r="J33" s="2"/>
      <c r="K33" s="2"/>
      <c r="L33" s="2"/>
      <c r="M33" s="23" t="s">
        <v>42</v>
      </c>
      <c r="N33" s="107">
        <f>SUM(N15,N25,N31)</f>
        <v>0</v>
      </c>
      <c r="O33" s="11"/>
    </row>
    <row r="34" spans="1:14" ht="15.75" thickBot="1">
      <c r="A34" s="1"/>
      <c r="B34" s="2"/>
      <c r="C34" s="2"/>
      <c r="D34" s="2"/>
      <c r="E34" s="2"/>
      <c r="F34" s="2"/>
      <c r="H34" s="1"/>
      <c r="M34" s="23" t="s">
        <v>43</v>
      </c>
      <c r="N34" s="107">
        <f>IF(G36=0,"",G36)</f>
      </c>
    </row>
    <row r="35" spans="1:14" ht="19.5" customHeight="1" thickBot="1">
      <c r="A35" s="1"/>
      <c r="B35" s="108" t="s">
        <v>44</v>
      </c>
      <c r="C35" s="109"/>
      <c r="D35" s="109"/>
      <c r="E35" s="109"/>
      <c r="F35" s="109"/>
      <c r="G35" s="110"/>
      <c r="H35" s="1"/>
      <c r="M35" s="111" t="s">
        <v>54</v>
      </c>
      <c r="N35" s="112">
        <f>IF(G36=0,"",SUM(N33:N34))</f>
      </c>
    </row>
    <row r="36" spans="1:14" ht="19.5" customHeight="1">
      <c r="A36" s="1"/>
      <c r="B36" s="183" t="s">
        <v>45</v>
      </c>
      <c r="C36" s="183"/>
      <c r="D36" s="183"/>
      <c r="E36" s="183"/>
      <c r="F36" s="183"/>
      <c r="G36" s="113">
        <v>0</v>
      </c>
      <c r="H36" s="1"/>
      <c r="M36" s="111"/>
      <c r="N36" s="114" t="s">
        <v>55</v>
      </c>
    </row>
    <row r="37" spans="1:14" ht="19.5" customHeight="1">
      <c r="A37" s="1"/>
      <c r="B37" s="1"/>
      <c r="C37" s="1"/>
      <c r="D37" s="1"/>
      <c r="E37" s="1"/>
      <c r="F37" s="1"/>
      <c r="G37" s="1"/>
      <c r="H37" s="1"/>
      <c r="I37" s="115" t="s">
        <v>46</v>
      </c>
      <c r="J37" s="29"/>
      <c r="K37" s="29"/>
      <c r="L37" s="29"/>
      <c r="M37" s="29"/>
      <c r="N37" s="29"/>
    </row>
    <row r="38" spans="1:17" ht="12.75">
      <c r="A38" s="2"/>
      <c r="B38" s="2"/>
      <c r="C38" s="2"/>
      <c r="D38" s="2"/>
      <c r="E38" s="2"/>
      <c r="F38" s="2"/>
      <c r="H38" s="2"/>
      <c r="P38" s="116"/>
      <c r="Q38" s="116"/>
    </row>
    <row r="39" ht="28.5" customHeight="1">
      <c r="H39" s="2"/>
    </row>
    <row r="40" ht="12.75">
      <c r="H40" s="2"/>
    </row>
    <row r="59" spans="2:7" ht="12.75">
      <c r="B59" s="11"/>
      <c r="C59" s="11"/>
      <c r="G59" s="12"/>
    </row>
  </sheetData>
  <sheetProtection/>
  <mergeCells count="14">
    <mergeCell ref="B36:F36"/>
    <mergeCell ref="I11:N11"/>
    <mergeCell ref="I18:N18"/>
    <mergeCell ref="I19:N19"/>
    <mergeCell ref="I28:L28"/>
    <mergeCell ref="M28:N28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Jamaica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241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39850</v>
      </c>
      <c r="J13" s="119">
        <v>39918</v>
      </c>
      <c r="K13" s="44">
        <f>+J13-I13+1</f>
        <v>69</v>
      </c>
      <c r="L13" s="129">
        <v>9.09</v>
      </c>
      <c r="M13" s="130">
        <f>ROUND(K13*L13,2)</f>
        <v>627.21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188</v>
      </c>
      <c r="K20" s="125">
        <v>25</v>
      </c>
      <c r="L20" s="122">
        <v>0.15</v>
      </c>
      <c r="M20" s="126">
        <f>ROUND(K20*L20,2)</f>
        <v>3.75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230</v>
      </c>
      <c r="K21" s="125">
        <v>39.77</v>
      </c>
      <c r="L21" s="122">
        <v>0.15</v>
      </c>
      <c r="M21" s="126">
        <f>ROUND(K21*L21,2)</f>
        <v>5.97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33:F33"/>
    <mergeCell ref="C8:D8"/>
    <mergeCell ref="E8:G8"/>
    <mergeCell ref="I11:N11"/>
    <mergeCell ref="I17:N17"/>
    <mergeCell ref="I18:N18"/>
    <mergeCell ref="I25:L25"/>
    <mergeCell ref="M25:N25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Jordan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70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40110</v>
      </c>
      <c r="J13" s="119">
        <v>40171</v>
      </c>
      <c r="K13" s="44">
        <f>+J13-I13+1</f>
        <v>62</v>
      </c>
      <c r="L13" s="129">
        <v>2.3</v>
      </c>
      <c r="M13" s="130">
        <f>ROUND(K13*L13,2)</f>
        <v>142.6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76</v>
      </c>
      <c r="K20" s="125">
        <v>225.99</v>
      </c>
      <c r="L20" s="122">
        <v>0.25</v>
      </c>
      <c r="M20" s="126">
        <f>ROUND(K20*L20,2)</f>
        <v>56.5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135</v>
      </c>
      <c r="K21" s="125">
        <v>242.94</v>
      </c>
      <c r="L21" s="122">
        <v>0.25</v>
      </c>
      <c r="M21" s="126">
        <f>ROUND(K21*L21,2)</f>
        <v>60.74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3:F33"/>
    <mergeCell ref="I11:N11"/>
    <mergeCell ref="I17:N17"/>
    <mergeCell ref="I18:N18"/>
    <mergeCell ref="I25:L25"/>
    <mergeCell ref="M25:N25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Q71"/>
  <sheetViews>
    <sheetView zoomScalePageLayoutView="0" workbookViewId="0" topLeftCell="A1">
      <selection activeCell="I32" sqref="I32:J32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Kazakhstan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202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40046</v>
      </c>
      <c r="J13" s="119">
        <v>40117</v>
      </c>
      <c r="K13" s="44">
        <f>+J13-I13+1</f>
        <v>72</v>
      </c>
      <c r="L13" s="129">
        <v>3.57</v>
      </c>
      <c r="M13" s="130">
        <f>ROUND(K13*L13,2)</f>
        <v>257.04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$"&amp;ROUND(SUM(B20:B36),2)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 aca="true" t="shared" si="0" ref="B20:B36"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 aca="true" t="shared" si="1" ref="G20:G36">C20+D20/29+E20/30+F20/31</f>
        <v>0</v>
      </c>
      <c r="H20" s="1"/>
      <c r="I20" s="198" t="s">
        <v>229</v>
      </c>
      <c r="J20" s="199"/>
      <c r="K20" s="125"/>
      <c r="L20" s="122"/>
      <c r="M20" s="126"/>
      <c r="N20" s="75" t="str">
        <f aca="true" t="shared" si="2" ref="N20:N36">IF($G20=0,"----",M20*$G20)</f>
        <v>----</v>
      </c>
    </row>
    <row r="21" spans="1:14" ht="15" customHeight="1">
      <c r="A21" s="1"/>
      <c r="B21" s="72" t="str">
        <f t="shared" si="0"/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t="shared" si="1"/>
        <v>0</v>
      </c>
      <c r="H21" s="1"/>
      <c r="I21" s="124" t="s">
        <v>85</v>
      </c>
      <c r="J21" s="121" t="s">
        <v>188</v>
      </c>
      <c r="K21" s="125">
        <v>566.8</v>
      </c>
      <c r="L21" s="122">
        <v>0.195</v>
      </c>
      <c r="M21" s="126">
        <f aca="true" t="shared" si="3" ref="M21:M36">ROUND(K21*L21,2)</f>
        <v>110.53</v>
      </c>
      <c r="N21" s="75" t="str">
        <f t="shared" si="2"/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24" t="s">
        <v>86</v>
      </c>
      <c r="J22" s="121" t="s">
        <v>188</v>
      </c>
      <c r="K22" s="125">
        <v>406.93</v>
      </c>
      <c r="L22" s="122">
        <v>0.195</v>
      </c>
      <c r="M22" s="126">
        <f t="shared" si="3"/>
        <v>79.35</v>
      </c>
      <c r="N22" s="75" t="str">
        <f t="shared" si="2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24" t="s">
        <v>87</v>
      </c>
      <c r="J23" s="121" t="s">
        <v>188</v>
      </c>
      <c r="K23" s="125">
        <v>356.07</v>
      </c>
      <c r="L23" s="122">
        <v>0.195</v>
      </c>
      <c r="M23" s="126">
        <f t="shared" si="3"/>
        <v>69.43</v>
      </c>
      <c r="N23" s="75" t="str">
        <f t="shared" si="2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24" t="s">
        <v>231</v>
      </c>
      <c r="J24" s="121" t="s">
        <v>188</v>
      </c>
      <c r="K24" s="125">
        <v>297.93</v>
      </c>
      <c r="L24" s="122">
        <v>0.195</v>
      </c>
      <c r="M24" s="126">
        <f t="shared" si="3"/>
        <v>58.1</v>
      </c>
      <c r="N24" s="75" t="str">
        <f t="shared" si="2"/>
        <v>----</v>
      </c>
    </row>
    <row r="25" spans="1:14" ht="15" customHeight="1" thickBo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60" t="s">
        <v>232</v>
      </c>
      <c r="J25" s="161" t="s">
        <v>188</v>
      </c>
      <c r="K25" s="162">
        <v>232.53</v>
      </c>
      <c r="L25" s="163">
        <v>0.195</v>
      </c>
      <c r="M25" s="164">
        <f t="shared" si="3"/>
        <v>45.34</v>
      </c>
      <c r="N25" s="75" t="str">
        <f t="shared" si="2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24" t="s">
        <v>85</v>
      </c>
      <c r="J26" s="121" t="s">
        <v>230</v>
      </c>
      <c r="K26" s="125">
        <v>566.8</v>
      </c>
      <c r="L26" s="122">
        <v>0.176</v>
      </c>
      <c r="M26" s="126">
        <f t="shared" si="3"/>
        <v>99.76</v>
      </c>
      <c r="N26" s="75" t="str">
        <f t="shared" si="2"/>
        <v>----</v>
      </c>
    </row>
    <row r="27" spans="1:14" ht="15" customHeigh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24" t="s">
        <v>86</v>
      </c>
      <c r="J27" s="121" t="s">
        <v>230</v>
      </c>
      <c r="K27" s="125">
        <v>411.53</v>
      </c>
      <c r="L27" s="122">
        <v>0.176</v>
      </c>
      <c r="M27" s="126">
        <f t="shared" si="3"/>
        <v>72.43</v>
      </c>
      <c r="N27" s="75" t="str">
        <f t="shared" si="2"/>
        <v>----</v>
      </c>
    </row>
    <row r="28" spans="1:14" ht="15" customHeight="1">
      <c r="A28" s="1"/>
      <c r="B28" s="72" t="str">
        <f t="shared" si="0"/>
        <v>----</v>
      </c>
      <c r="C28" s="73">
        <v>0</v>
      </c>
      <c r="D28" s="73">
        <v>0</v>
      </c>
      <c r="E28" s="73">
        <v>0</v>
      </c>
      <c r="F28" s="73">
        <v>0</v>
      </c>
      <c r="G28" s="74">
        <f t="shared" si="1"/>
        <v>0</v>
      </c>
      <c r="H28" s="1"/>
      <c r="I28" s="124" t="s">
        <v>87</v>
      </c>
      <c r="J28" s="121" t="s">
        <v>230</v>
      </c>
      <c r="K28" s="125">
        <v>373.53</v>
      </c>
      <c r="L28" s="122">
        <v>0.176</v>
      </c>
      <c r="M28" s="126">
        <f t="shared" si="3"/>
        <v>65.74</v>
      </c>
      <c r="N28" s="75" t="str">
        <f t="shared" si="2"/>
        <v>----</v>
      </c>
    </row>
    <row r="29" spans="1:14" ht="15" customHeight="1">
      <c r="A29" s="1"/>
      <c r="B29" s="72" t="str">
        <f t="shared" si="0"/>
        <v>----</v>
      </c>
      <c r="C29" s="73">
        <v>0</v>
      </c>
      <c r="D29" s="73">
        <v>0</v>
      </c>
      <c r="E29" s="73">
        <v>0</v>
      </c>
      <c r="F29" s="73">
        <v>0</v>
      </c>
      <c r="G29" s="74">
        <f t="shared" si="1"/>
        <v>0</v>
      </c>
      <c r="H29" s="1"/>
      <c r="I29" s="124" t="s">
        <v>231</v>
      </c>
      <c r="J29" s="121" t="s">
        <v>230</v>
      </c>
      <c r="K29" s="125">
        <v>346.86</v>
      </c>
      <c r="L29" s="122">
        <v>0.176</v>
      </c>
      <c r="M29" s="126">
        <f t="shared" si="3"/>
        <v>61.05</v>
      </c>
      <c r="N29" s="75" t="str">
        <f t="shared" si="2"/>
        <v>----</v>
      </c>
    </row>
    <row r="30" spans="1:14" ht="15" customHeight="1">
      <c r="A30" s="1"/>
      <c r="B30" s="72" t="str">
        <f t="shared" si="0"/>
        <v>----</v>
      </c>
      <c r="C30" s="73">
        <v>0</v>
      </c>
      <c r="D30" s="73">
        <v>0</v>
      </c>
      <c r="E30" s="73">
        <v>0</v>
      </c>
      <c r="F30" s="73">
        <v>0</v>
      </c>
      <c r="G30" s="74">
        <f t="shared" si="1"/>
        <v>0</v>
      </c>
      <c r="H30" s="1"/>
      <c r="I30" s="124" t="s">
        <v>232</v>
      </c>
      <c r="J30" s="121" t="s">
        <v>230</v>
      </c>
      <c r="K30" s="125">
        <v>274.86</v>
      </c>
      <c r="L30" s="122">
        <v>0.176</v>
      </c>
      <c r="M30" s="126">
        <f t="shared" si="3"/>
        <v>48.38</v>
      </c>
      <c r="N30" s="75" t="str">
        <f t="shared" si="2"/>
        <v>----</v>
      </c>
    </row>
    <row r="31" spans="1:14" ht="15" customHeight="1">
      <c r="A31" s="1"/>
      <c r="B31" s="72" t="str">
        <f t="shared" si="0"/>
        <v>----</v>
      </c>
      <c r="C31" s="73">
        <v>0</v>
      </c>
      <c r="D31" s="73">
        <v>0</v>
      </c>
      <c r="E31" s="73">
        <v>0</v>
      </c>
      <c r="F31" s="73">
        <v>0</v>
      </c>
      <c r="G31" s="74">
        <f t="shared" si="1"/>
        <v>0</v>
      </c>
      <c r="H31" s="1"/>
      <c r="I31" s="124"/>
      <c r="J31" s="121"/>
      <c r="K31" s="125"/>
      <c r="L31" s="122"/>
      <c r="M31" s="126"/>
      <c r="N31" s="75" t="str">
        <f t="shared" si="2"/>
        <v>----</v>
      </c>
    </row>
    <row r="32" spans="1:14" ht="15" customHeight="1">
      <c r="A32" s="1"/>
      <c r="B32" s="72" t="str">
        <f t="shared" si="0"/>
        <v>----</v>
      </c>
      <c r="C32" s="73">
        <v>0</v>
      </c>
      <c r="D32" s="73">
        <v>0</v>
      </c>
      <c r="E32" s="73">
        <v>0</v>
      </c>
      <c r="F32" s="73">
        <v>0</v>
      </c>
      <c r="G32" s="74">
        <f t="shared" si="1"/>
        <v>0</v>
      </c>
      <c r="H32" s="1"/>
      <c r="I32" s="198" t="s">
        <v>233</v>
      </c>
      <c r="J32" s="199"/>
      <c r="K32" s="125"/>
      <c r="L32" s="122"/>
      <c r="M32" s="126"/>
      <c r="N32" s="75" t="str">
        <f t="shared" si="2"/>
        <v>----</v>
      </c>
    </row>
    <row r="33" spans="1:14" ht="15" customHeight="1">
      <c r="A33" s="1"/>
      <c r="B33" s="72" t="str">
        <f t="shared" si="0"/>
        <v>----</v>
      </c>
      <c r="C33" s="73">
        <v>0</v>
      </c>
      <c r="D33" s="73">
        <v>0</v>
      </c>
      <c r="E33" s="73">
        <v>0</v>
      </c>
      <c r="F33" s="73">
        <v>0</v>
      </c>
      <c r="G33" s="74">
        <f t="shared" si="1"/>
        <v>0</v>
      </c>
      <c r="H33" s="1"/>
      <c r="I33" s="124" t="s">
        <v>86</v>
      </c>
      <c r="J33" s="121" t="s">
        <v>186</v>
      </c>
      <c r="K33" s="125">
        <v>411.53</v>
      </c>
      <c r="L33" s="122">
        <v>0.176</v>
      </c>
      <c r="M33" s="126">
        <f t="shared" si="3"/>
        <v>72.43</v>
      </c>
      <c r="N33" s="75" t="str">
        <f t="shared" si="2"/>
        <v>----</v>
      </c>
    </row>
    <row r="34" spans="1:14" ht="15" customHeight="1">
      <c r="A34" s="1"/>
      <c r="B34" s="72" t="str">
        <f t="shared" si="0"/>
        <v>----</v>
      </c>
      <c r="C34" s="73">
        <v>0</v>
      </c>
      <c r="D34" s="73">
        <v>0</v>
      </c>
      <c r="E34" s="73">
        <v>0</v>
      </c>
      <c r="F34" s="73">
        <v>0</v>
      </c>
      <c r="G34" s="74">
        <f t="shared" si="1"/>
        <v>0</v>
      </c>
      <c r="H34" s="1"/>
      <c r="I34" s="124" t="s">
        <v>87</v>
      </c>
      <c r="J34" s="121" t="s">
        <v>186</v>
      </c>
      <c r="K34" s="125">
        <v>373.53</v>
      </c>
      <c r="L34" s="122">
        <v>0.176</v>
      </c>
      <c r="M34" s="126">
        <f t="shared" si="3"/>
        <v>65.74</v>
      </c>
      <c r="N34" s="75" t="str">
        <f t="shared" si="2"/>
        <v>----</v>
      </c>
    </row>
    <row r="35" spans="1:14" ht="15" customHeight="1">
      <c r="A35" s="1"/>
      <c r="B35" s="72" t="str">
        <f t="shared" si="0"/>
        <v>----</v>
      </c>
      <c r="C35" s="73">
        <v>0</v>
      </c>
      <c r="D35" s="73">
        <v>0</v>
      </c>
      <c r="E35" s="73">
        <v>0</v>
      </c>
      <c r="F35" s="73">
        <v>0</v>
      </c>
      <c r="G35" s="74">
        <f t="shared" si="1"/>
        <v>0</v>
      </c>
      <c r="H35" s="1"/>
      <c r="I35" s="124" t="s">
        <v>231</v>
      </c>
      <c r="J35" s="121" t="s">
        <v>186</v>
      </c>
      <c r="K35" s="125">
        <v>346.86</v>
      </c>
      <c r="L35" s="122">
        <v>0.176</v>
      </c>
      <c r="M35" s="126">
        <f t="shared" si="3"/>
        <v>61.05</v>
      </c>
      <c r="N35" s="75" t="str">
        <f t="shared" si="2"/>
        <v>----</v>
      </c>
    </row>
    <row r="36" spans="1:14" ht="15" customHeight="1" thickBot="1">
      <c r="A36" s="1"/>
      <c r="B36" s="72" t="str">
        <f t="shared" si="0"/>
        <v>----</v>
      </c>
      <c r="C36" s="73">
        <v>0</v>
      </c>
      <c r="D36" s="73">
        <v>0</v>
      </c>
      <c r="E36" s="73">
        <v>0</v>
      </c>
      <c r="F36" s="73">
        <v>0</v>
      </c>
      <c r="G36" s="74">
        <f t="shared" si="1"/>
        <v>0</v>
      </c>
      <c r="H36" s="1"/>
      <c r="I36" s="124" t="s">
        <v>232</v>
      </c>
      <c r="J36" s="121" t="s">
        <v>186</v>
      </c>
      <c r="K36" s="125">
        <v>274.86</v>
      </c>
      <c r="L36" s="122">
        <v>0.176</v>
      </c>
      <c r="M36" s="126">
        <f t="shared" si="3"/>
        <v>48.38</v>
      </c>
      <c r="N36" s="75" t="str">
        <f t="shared" si="2"/>
        <v>----</v>
      </c>
    </row>
    <row r="37" spans="1:16" ht="20.25" customHeight="1" thickBot="1">
      <c r="A37" s="1"/>
      <c r="B37" s="78">
        <f>SUM(B20:B36)</f>
        <v>0</v>
      </c>
      <c r="C37" s="79"/>
      <c r="D37" s="79"/>
      <c r="E37" s="79"/>
      <c r="F37" s="79"/>
      <c r="G37" s="79"/>
      <c r="H37" s="1"/>
      <c r="I37" s="80"/>
      <c r="J37" s="52"/>
      <c r="K37" s="81"/>
      <c r="L37" s="82"/>
      <c r="M37" s="54" t="s">
        <v>29</v>
      </c>
      <c r="N37" s="83" t="str">
        <f>IF(SUM(N20:N36)=0,"----",SUM((N20:N36)))</f>
        <v>----</v>
      </c>
      <c r="P37" s="84"/>
    </row>
    <row r="38" spans="1:14" ht="15" customHeight="1" thickBot="1">
      <c r="A38" s="1"/>
      <c r="B38" s="79"/>
      <c r="C38" s="79"/>
      <c r="D38" s="79"/>
      <c r="E38" s="79"/>
      <c r="F38" s="79"/>
      <c r="H38" s="1"/>
      <c r="I38" s="85"/>
      <c r="J38" s="21"/>
      <c r="K38" s="86"/>
      <c r="L38" s="87"/>
      <c r="M38" s="23"/>
      <c r="N38" s="23"/>
    </row>
    <row r="39" spans="1:17" ht="25.5" customHeight="1">
      <c r="A39" s="1"/>
      <c r="B39" s="71"/>
      <c r="C39" s="2"/>
      <c r="D39" s="2"/>
      <c r="E39" s="2"/>
      <c r="F39" s="71"/>
      <c r="H39" s="1"/>
      <c r="I39" s="24" t="s">
        <v>30</v>
      </c>
      <c r="J39" s="25"/>
      <c r="K39" s="88"/>
      <c r="L39" s="89"/>
      <c r="M39" s="90" t="s">
        <v>31</v>
      </c>
      <c r="N39" s="26"/>
      <c r="P39" s="91"/>
      <c r="Q39" s="3"/>
    </row>
    <row r="40" spans="1:17" ht="28.5" customHeight="1">
      <c r="A40" s="1"/>
      <c r="B40" s="92" t="s">
        <v>32</v>
      </c>
      <c r="C40" s="93"/>
      <c r="D40" s="93"/>
      <c r="E40" s="94"/>
      <c r="F40" s="71"/>
      <c r="G40" s="95" t="s">
        <v>33</v>
      </c>
      <c r="H40" s="1"/>
      <c r="I40" s="175" t="s">
        <v>34</v>
      </c>
      <c r="J40" s="186"/>
      <c r="K40" s="186"/>
      <c r="L40" s="186"/>
      <c r="M40" s="184" t="s">
        <v>35</v>
      </c>
      <c r="N40" s="185"/>
      <c r="P40" s="3"/>
      <c r="Q40" s="3"/>
    </row>
    <row r="41" spans="1:17" ht="45" customHeight="1">
      <c r="A41" s="1"/>
      <c r="B41" s="67" t="s">
        <v>18</v>
      </c>
      <c r="C41" s="67" t="s">
        <v>36</v>
      </c>
      <c r="D41" s="67" t="s">
        <v>37</v>
      </c>
      <c r="E41" s="67" t="s">
        <v>38</v>
      </c>
      <c r="G41" s="67" t="s">
        <v>39</v>
      </c>
      <c r="H41" s="1"/>
      <c r="I41" s="96" t="s">
        <v>27</v>
      </c>
      <c r="J41" s="97" t="s">
        <v>56</v>
      </c>
      <c r="K41" s="3"/>
      <c r="L41" s="3"/>
      <c r="M41" s="36" t="s">
        <v>40</v>
      </c>
      <c r="N41" s="37" t="s">
        <v>56</v>
      </c>
      <c r="Q41" s="3"/>
    </row>
    <row r="42" spans="1:17" ht="15" customHeight="1" thickBot="1">
      <c r="A42" s="1"/>
      <c r="B42" s="98">
        <f>SUM(C20:C36)</f>
        <v>0</v>
      </c>
      <c r="C42" s="98">
        <f>COUNTIF(D20:F36,"&gt;=16")</f>
        <v>0</v>
      </c>
      <c r="D42" s="98">
        <f>(COUNTIF(D20:F36,"&gt;0")-C42)/2</f>
        <v>0</v>
      </c>
      <c r="E42" s="98">
        <f>SUM(B42:D42)</f>
        <v>0</v>
      </c>
      <c r="G42" s="99">
        <v>0</v>
      </c>
      <c r="H42" s="1"/>
      <c r="I42" s="100">
        <v>24</v>
      </c>
      <c r="J42" s="101" t="str">
        <f>IF(E42*I42=0,"----",E42*I42)</f>
        <v>----</v>
      </c>
      <c r="K42" s="3"/>
      <c r="L42" s="3"/>
      <c r="M42" s="102">
        <v>12</v>
      </c>
      <c r="N42" s="76" t="str">
        <f>IF($G42=0,"----",M42*$G42)</f>
        <v>----</v>
      </c>
      <c r="Q42" s="3"/>
    </row>
    <row r="43" spans="1:17" ht="15" customHeight="1" thickBot="1">
      <c r="A43" s="1"/>
      <c r="B43" s="12"/>
      <c r="C43" s="12"/>
      <c r="D43" s="12"/>
      <c r="E43" s="103"/>
      <c r="F43" s="12"/>
      <c r="G43" s="12"/>
      <c r="H43" s="1"/>
      <c r="I43" s="104"/>
      <c r="J43" s="105"/>
      <c r="K43" s="105"/>
      <c r="L43" s="106"/>
      <c r="M43" s="54" t="s">
        <v>41</v>
      </c>
      <c r="N43" s="83" t="str">
        <f>IF(SUM(J42,N42)=0,"----",SUM((J42,N42)))</f>
        <v>----</v>
      </c>
      <c r="Q43" s="3"/>
    </row>
    <row r="44" spans="1:15" s="12" customFormat="1" ht="15" customHeight="1">
      <c r="A44" s="5"/>
      <c r="E44" s="2"/>
      <c r="F44" s="2"/>
      <c r="H44" s="5"/>
      <c r="I44" s="2"/>
      <c r="J44" s="2"/>
      <c r="K44" s="2"/>
      <c r="L44" s="2"/>
      <c r="M44" s="2"/>
      <c r="N44" s="2"/>
      <c r="O44" s="11"/>
    </row>
    <row r="45" spans="1:15" s="12" customFormat="1" ht="20.25" customHeight="1">
      <c r="A45" s="5"/>
      <c r="H45" s="5"/>
      <c r="I45" s="2"/>
      <c r="J45" s="2"/>
      <c r="K45" s="2"/>
      <c r="L45" s="2"/>
      <c r="M45" s="23" t="s">
        <v>42</v>
      </c>
      <c r="N45" s="107">
        <f>SUM(N14,N37,N43)</f>
        <v>0</v>
      </c>
      <c r="O45" s="11"/>
    </row>
    <row r="46" spans="1:14" ht="15.75" thickBot="1">
      <c r="A46" s="1"/>
      <c r="B46" s="2"/>
      <c r="C46" s="2"/>
      <c r="D46" s="2"/>
      <c r="E46" s="2"/>
      <c r="F46" s="2"/>
      <c r="H46" s="1"/>
      <c r="M46" s="23" t="s">
        <v>43</v>
      </c>
      <c r="N46" s="107">
        <f>IF(G48=0,"",G48)</f>
      </c>
    </row>
    <row r="47" spans="1:14" ht="19.5" customHeight="1" thickBot="1">
      <c r="A47" s="1"/>
      <c r="B47" s="108" t="s">
        <v>44</v>
      </c>
      <c r="C47" s="109"/>
      <c r="D47" s="109"/>
      <c r="E47" s="109"/>
      <c r="F47" s="109"/>
      <c r="G47" s="110"/>
      <c r="H47" s="1"/>
      <c r="M47" s="111" t="s">
        <v>54</v>
      </c>
      <c r="N47" s="112">
        <f>IF(G48=0,"",SUM(N45:N46))</f>
      </c>
    </row>
    <row r="48" spans="1:14" ht="19.5" customHeight="1">
      <c r="A48" s="1"/>
      <c r="B48" s="183" t="s">
        <v>45</v>
      </c>
      <c r="C48" s="183"/>
      <c r="D48" s="183"/>
      <c r="E48" s="183"/>
      <c r="F48" s="183"/>
      <c r="G48" s="113">
        <v>0</v>
      </c>
      <c r="H48" s="1"/>
      <c r="M48" s="111"/>
      <c r="N48" s="114" t="s">
        <v>55</v>
      </c>
    </row>
    <row r="49" spans="1:14" ht="19.5" customHeight="1">
      <c r="A49" s="1"/>
      <c r="B49" s="1"/>
      <c r="C49" s="1"/>
      <c r="D49" s="1"/>
      <c r="E49" s="1"/>
      <c r="F49" s="1"/>
      <c r="G49" s="1"/>
      <c r="H49" s="1"/>
      <c r="I49" s="115" t="s">
        <v>46</v>
      </c>
      <c r="J49" s="29"/>
      <c r="K49" s="29"/>
      <c r="L49" s="29"/>
      <c r="M49" s="29"/>
      <c r="N49" s="29"/>
    </row>
    <row r="50" spans="1:17" ht="12.75">
      <c r="A50" s="2"/>
      <c r="B50" s="2"/>
      <c r="C50" s="2"/>
      <c r="D50" s="2"/>
      <c r="E50" s="2"/>
      <c r="F50" s="2"/>
      <c r="H50" s="2"/>
      <c r="P50" s="116"/>
      <c r="Q50" s="116"/>
    </row>
    <row r="51" ht="28.5" customHeight="1">
      <c r="H51" s="2"/>
    </row>
    <row r="52" ht="12.75">
      <c r="H52" s="2"/>
    </row>
    <row r="71" spans="2:7" ht="12.75">
      <c r="B71" s="11"/>
      <c r="C71" s="11"/>
      <c r="G71" s="12"/>
    </row>
  </sheetData>
  <sheetProtection/>
  <mergeCells count="16">
    <mergeCell ref="B48:F48"/>
    <mergeCell ref="I11:N11"/>
    <mergeCell ref="I17:N17"/>
    <mergeCell ref="I18:N18"/>
    <mergeCell ref="I40:L40"/>
    <mergeCell ref="M40:N40"/>
    <mergeCell ref="I20:J20"/>
    <mergeCell ref="I32:J32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Kenya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134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39968</v>
      </c>
      <c r="J13" s="119">
        <v>40024</v>
      </c>
      <c r="K13" s="44">
        <f>+J13-I13+1</f>
        <v>57</v>
      </c>
      <c r="L13" s="129">
        <v>3.74</v>
      </c>
      <c r="M13" s="130">
        <f>ROUND(K13*L13,2)</f>
        <v>213.18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40121</v>
      </c>
      <c r="J14" s="119">
        <v>40178</v>
      </c>
      <c r="K14" s="44">
        <f>+J14-I14+1</f>
        <v>58</v>
      </c>
      <c r="L14" s="129">
        <v>4.72</v>
      </c>
      <c r="M14" s="130">
        <f>ROUND(K14*L14,2)</f>
        <v>273.76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$"&amp;ROUND(SUM(B21:B22),2)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76</v>
      </c>
      <c r="K21" s="125">
        <v>166.49</v>
      </c>
      <c r="L21" s="122">
        <v>0.35</v>
      </c>
      <c r="M21" s="126">
        <f>ROUND(K21*L21,2)</f>
        <v>58.27</v>
      </c>
      <c r="N21" s="75" t="str">
        <f>IF($G21=0,"----",M21*$G21)</f>
        <v>----</v>
      </c>
    </row>
    <row r="22" spans="1:14" ht="15" customHeight="1" thickBo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64</v>
      </c>
      <c r="J22" s="121" t="s">
        <v>135</v>
      </c>
      <c r="K22" s="125">
        <v>222.08</v>
      </c>
      <c r="L22" s="122">
        <v>0.35</v>
      </c>
      <c r="M22" s="126">
        <f>ROUND(K22*L22,2)</f>
        <v>77.73</v>
      </c>
      <c r="N22" s="75" t="str">
        <f>IF($G22=0,"----",M22*$G22)</f>
        <v>----</v>
      </c>
    </row>
    <row r="23" spans="1:16" ht="20.25" customHeight="1" thickBot="1">
      <c r="A23" s="1"/>
      <c r="B23" s="78">
        <f>SUM(B21:B22)</f>
        <v>0</v>
      </c>
      <c r="C23" s="79"/>
      <c r="D23" s="79"/>
      <c r="E23" s="79"/>
      <c r="F23" s="79"/>
      <c r="G23" s="79"/>
      <c r="H23" s="1"/>
      <c r="I23" s="80"/>
      <c r="J23" s="52"/>
      <c r="K23" s="81"/>
      <c r="L23" s="82"/>
      <c r="M23" s="54" t="s">
        <v>29</v>
      </c>
      <c r="N23" s="83" t="str">
        <f>IF(SUM(N21:N22)=0,"----",SUM((N21:N22)))</f>
        <v>----</v>
      </c>
      <c r="P23" s="84"/>
    </row>
    <row r="24" spans="1:14" ht="15" customHeight="1" thickBot="1">
      <c r="A24" s="1"/>
      <c r="B24" s="79"/>
      <c r="C24" s="79"/>
      <c r="D24" s="79"/>
      <c r="E24" s="79"/>
      <c r="F24" s="79"/>
      <c r="H24" s="1"/>
      <c r="I24" s="85"/>
      <c r="J24" s="21"/>
      <c r="K24" s="86"/>
      <c r="L24" s="87"/>
      <c r="M24" s="23"/>
      <c r="N24" s="23"/>
    </row>
    <row r="25" spans="1:17" ht="25.5" customHeight="1">
      <c r="A25" s="1"/>
      <c r="B25" s="71"/>
      <c r="C25" s="2"/>
      <c r="D25" s="2"/>
      <c r="E25" s="2"/>
      <c r="F25" s="71"/>
      <c r="H25" s="1"/>
      <c r="I25" s="24" t="s">
        <v>30</v>
      </c>
      <c r="J25" s="25"/>
      <c r="K25" s="88"/>
      <c r="L25" s="89"/>
      <c r="M25" s="90" t="s">
        <v>31</v>
      </c>
      <c r="N25" s="26"/>
      <c r="P25" s="91"/>
      <c r="Q25" s="3"/>
    </row>
    <row r="26" spans="1:17" ht="28.5" customHeight="1">
      <c r="A26" s="1"/>
      <c r="B26" s="92" t="s">
        <v>32</v>
      </c>
      <c r="C26" s="93"/>
      <c r="D26" s="93"/>
      <c r="E26" s="94"/>
      <c r="F26" s="71"/>
      <c r="G26" s="95" t="s">
        <v>33</v>
      </c>
      <c r="H26" s="1"/>
      <c r="I26" s="175" t="s">
        <v>34</v>
      </c>
      <c r="J26" s="186"/>
      <c r="K26" s="186"/>
      <c r="L26" s="186"/>
      <c r="M26" s="184" t="s">
        <v>35</v>
      </c>
      <c r="N26" s="185"/>
      <c r="P26" s="3"/>
      <c r="Q26" s="3"/>
    </row>
    <row r="27" spans="1:17" ht="45" customHeight="1">
      <c r="A27" s="1"/>
      <c r="B27" s="67" t="s">
        <v>18</v>
      </c>
      <c r="C27" s="67" t="s">
        <v>36</v>
      </c>
      <c r="D27" s="67" t="s">
        <v>37</v>
      </c>
      <c r="E27" s="67" t="s">
        <v>38</v>
      </c>
      <c r="G27" s="67" t="s">
        <v>39</v>
      </c>
      <c r="H27" s="1"/>
      <c r="I27" s="96" t="s">
        <v>27</v>
      </c>
      <c r="J27" s="97" t="s">
        <v>56</v>
      </c>
      <c r="K27" s="3"/>
      <c r="L27" s="3"/>
      <c r="M27" s="36" t="s">
        <v>40</v>
      </c>
      <c r="N27" s="37" t="s">
        <v>56</v>
      </c>
      <c r="Q27" s="3"/>
    </row>
    <row r="28" spans="1:17" ht="15" customHeight="1" thickBot="1">
      <c r="A28" s="1"/>
      <c r="B28" s="98">
        <f>SUM(C21:C22)</f>
        <v>0</v>
      </c>
      <c r="C28" s="98">
        <f>COUNTIF(D21:F22,"&gt;=16")</f>
        <v>0</v>
      </c>
      <c r="D28" s="98">
        <f>(COUNTIF(D21:F22,"&gt;0")-C28)/2</f>
        <v>0</v>
      </c>
      <c r="E28" s="98">
        <f>SUM(B28:D28)</f>
        <v>0</v>
      </c>
      <c r="G28" s="99">
        <v>0</v>
      </c>
      <c r="H28" s="1"/>
      <c r="I28" s="100">
        <v>24</v>
      </c>
      <c r="J28" s="101" t="str">
        <f>IF(E28*I28=0,"----",E28*I28)</f>
        <v>----</v>
      </c>
      <c r="K28" s="3"/>
      <c r="L28" s="3"/>
      <c r="M28" s="102">
        <v>12</v>
      </c>
      <c r="N28" s="76" t="str">
        <f>IF($G28=0,"----",M28*$G28)</f>
        <v>----</v>
      </c>
      <c r="Q28" s="3"/>
    </row>
    <row r="29" spans="1:17" ht="15" customHeight="1" thickBot="1">
      <c r="A29" s="1"/>
      <c r="B29" s="12"/>
      <c r="C29" s="12"/>
      <c r="D29" s="12"/>
      <c r="E29" s="103"/>
      <c r="F29" s="12"/>
      <c r="G29" s="12"/>
      <c r="H29" s="1"/>
      <c r="I29" s="104"/>
      <c r="J29" s="105"/>
      <c r="K29" s="105"/>
      <c r="L29" s="106"/>
      <c r="M29" s="54" t="s">
        <v>41</v>
      </c>
      <c r="N29" s="83" t="str">
        <f>IF(SUM(J28,N28)=0,"----",SUM((J28,N28)))</f>
        <v>----</v>
      </c>
      <c r="Q29" s="3"/>
    </row>
    <row r="30" spans="1:15" s="12" customFormat="1" ht="15" customHeight="1">
      <c r="A30" s="5"/>
      <c r="E30" s="2"/>
      <c r="F30" s="2"/>
      <c r="H30" s="5"/>
      <c r="I30" s="2"/>
      <c r="J30" s="2"/>
      <c r="K30" s="2"/>
      <c r="L30" s="2"/>
      <c r="M30" s="2"/>
      <c r="N30" s="2"/>
      <c r="O30" s="11"/>
    </row>
    <row r="31" spans="1:15" s="12" customFormat="1" ht="20.25" customHeight="1">
      <c r="A31" s="5"/>
      <c r="H31" s="5"/>
      <c r="I31" s="2"/>
      <c r="J31" s="2"/>
      <c r="K31" s="2"/>
      <c r="L31" s="2"/>
      <c r="M31" s="23" t="s">
        <v>42</v>
      </c>
      <c r="N31" s="107">
        <f>SUM(N15,N23,N29)</f>
        <v>0</v>
      </c>
      <c r="O31" s="11"/>
    </row>
    <row r="32" spans="1:14" ht="15.75" thickBot="1">
      <c r="A32" s="1"/>
      <c r="B32" s="2"/>
      <c r="C32" s="2"/>
      <c r="D32" s="2"/>
      <c r="E32" s="2"/>
      <c r="F32" s="2"/>
      <c r="H32" s="1"/>
      <c r="M32" s="23" t="s">
        <v>43</v>
      </c>
      <c r="N32" s="107">
        <f>IF(G34=0,"",G34)</f>
      </c>
    </row>
    <row r="33" spans="1:14" ht="19.5" customHeight="1" thickBot="1">
      <c r="A33" s="1"/>
      <c r="B33" s="108" t="s">
        <v>44</v>
      </c>
      <c r="C33" s="109"/>
      <c r="D33" s="109"/>
      <c r="E33" s="109"/>
      <c r="F33" s="109"/>
      <c r="G33" s="110"/>
      <c r="H33" s="1"/>
      <c r="M33" s="111" t="s">
        <v>54</v>
      </c>
      <c r="N33" s="112">
        <f>IF(G34=0,"",SUM(N31:N32))</f>
      </c>
    </row>
    <row r="34" spans="1:14" ht="19.5" customHeight="1">
      <c r="A34" s="1"/>
      <c r="B34" s="183" t="s">
        <v>45</v>
      </c>
      <c r="C34" s="183"/>
      <c r="D34" s="183"/>
      <c r="E34" s="183"/>
      <c r="F34" s="183"/>
      <c r="G34" s="113">
        <v>0</v>
      </c>
      <c r="H34" s="1"/>
      <c r="M34" s="111"/>
      <c r="N34" s="114" t="s">
        <v>55</v>
      </c>
    </row>
    <row r="35" spans="1:14" ht="19.5" customHeight="1">
      <c r="A35" s="1"/>
      <c r="B35" s="1"/>
      <c r="C35" s="1"/>
      <c r="D35" s="1"/>
      <c r="E35" s="1"/>
      <c r="F35" s="1"/>
      <c r="G35" s="1"/>
      <c r="H35" s="1"/>
      <c r="I35" s="115" t="s">
        <v>46</v>
      </c>
      <c r="J35" s="29"/>
      <c r="K35" s="29"/>
      <c r="L35" s="29"/>
      <c r="M35" s="29"/>
      <c r="N35" s="29"/>
    </row>
    <row r="36" spans="1:17" ht="12.75">
      <c r="A36" s="2"/>
      <c r="B36" s="2"/>
      <c r="C36" s="2"/>
      <c r="D36" s="2"/>
      <c r="E36" s="2"/>
      <c r="F36" s="2"/>
      <c r="H36" s="2"/>
      <c r="P36" s="116"/>
      <c r="Q36" s="116"/>
    </row>
    <row r="37" ht="28.5" customHeight="1">
      <c r="H37" s="2"/>
    </row>
    <row r="38" ht="12.75">
      <c r="H38" s="2"/>
    </row>
    <row r="57" spans="2:7" ht="12.75">
      <c r="B57" s="11"/>
      <c r="C57" s="11"/>
      <c r="G57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4:F34"/>
    <mergeCell ref="I11:N11"/>
    <mergeCell ref="I18:N18"/>
    <mergeCell ref="I19:N19"/>
    <mergeCell ref="I26:L26"/>
    <mergeCell ref="M26:N26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Q7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Kyrgyz Republic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81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39902</v>
      </c>
      <c r="J13" s="119">
        <v>39974</v>
      </c>
      <c r="K13" s="44">
        <f>+J13-I13+1</f>
        <v>73</v>
      </c>
      <c r="L13" s="120">
        <v>1.36</v>
      </c>
      <c r="M13" s="45">
        <f>ROUND(K13*L13,2)</f>
        <v>99.28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$"&amp;ROUND(SUM(B20:B35),2)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 aca="true" t="shared" si="0" ref="B20:B35"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 aca="true" t="shared" si="1" ref="G20:G35">C20+D20/29+E20/30+F20/31</f>
        <v>0</v>
      </c>
      <c r="H20" s="1"/>
      <c r="I20" s="133" t="s">
        <v>85</v>
      </c>
      <c r="J20" s="134" t="s">
        <v>88</v>
      </c>
      <c r="K20" s="135">
        <f>5524/36</f>
        <v>153.44444444444446</v>
      </c>
      <c r="L20" s="136">
        <v>0.19</v>
      </c>
      <c r="M20" s="126">
        <f aca="true" t="shared" si="2" ref="M20:M35">ROUND(K20*L20,2)</f>
        <v>29.15</v>
      </c>
      <c r="N20" s="75" t="str">
        <f aca="true" t="shared" si="3" ref="N20:N35">IF($G20=0,"----",M20*$G20)</f>
        <v>----</v>
      </c>
    </row>
    <row r="21" spans="1:14" ht="15" customHeight="1">
      <c r="A21" s="1"/>
      <c r="B21" s="72" t="str">
        <f t="shared" si="0"/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t="shared" si="1"/>
        <v>0</v>
      </c>
      <c r="H21" s="1"/>
      <c r="I21" s="137" t="s">
        <v>86</v>
      </c>
      <c r="J21" s="134" t="s">
        <v>88</v>
      </c>
      <c r="K21" s="135">
        <f>5122/36</f>
        <v>142.27777777777777</v>
      </c>
      <c r="L21" s="138">
        <v>0.19</v>
      </c>
      <c r="M21" s="126">
        <f t="shared" si="2"/>
        <v>27.03</v>
      </c>
      <c r="N21" s="75" t="str">
        <f t="shared" si="3"/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37" t="s">
        <v>87</v>
      </c>
      <c r="J22" s="134" t="s">
        <v>88</v>
      </c>
      <c r="K22" s="135">
        <f>4922/36</f>
        <v>136.72222222222223</v>
      </c>
      <c r="L22" s="138">
        <v>0.19</v>
      </c>
      <c r="M22" s="126">
        <f t="shared" si="2"/>
        <v>25.98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33" t="s">
        <v>85</v>
      </c>
      <c r="J23" s="139" t="s">
        <v>89</v>
      </c>
      <c r="K23" s="135">
        <f>5306/36</f>
        <v>147.38888888888889</v>
      </c>
      <c r="L23" s="138">
        <v>0.19</v>
      </c>
      <c r="M23" s="126">
        <f t="shared" si="2"/>
        <v>28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37" t="s">
        <v>86</v>
      </c>
      <c r="J24" s="139" t="s">
        <v>89</v>
      </c>
      <c r="K24" s="140">
        <f>4908/36</f>
        <v>136.33333333333334</v>
      </c>
      <c r="L24" s="138">
        <v>0.19</v>
      </c>
      <c r="M24" s="126">
        <f t="shared" si="2"/>
        <v>25.9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37" t="s">
        <v>87</v>
      </c>
      <c r="J25" s="139" t="s">
        <v>89</v>
      </c>
      <c r="K25" s="135">
        <f>4718/36</f>
        <v>131.05555555555554</v>
      </c>
      <c r="L25" s="138">
        <v>0.19</v>
      </c>
      <c r="M25" s="126">
        <f t="shared" si="2"/>
        <v>24.9</v>
      </c>
      <c r="N25" s="75" t="str">
        <f t="shared" si="3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33" t="s">
        <v>85</v>
      </c>
      <c r="J26" s="134" t="s">
        <v>90</v>
      </c>
      <c r="K26" s="135">
        <f>5652/36</f>
        <v>157</v>
      </c>
      <c r="L26" s="138">
        <v>0.19</v>
      </c>
      <c r="M26" s="126">
        <f t="shared" si="2"/>
        <v>29.83</v>
      </c>
      <c r="N26" s="75" t="str">
        <f t="shared" si="3"/>
        <v>----</v>
      </c>
    </row>
    <row r="27" spans="1:14" ht="15" customHeigh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37" t="s">
        <v>86</v>
      </c>
      <c r="J27" s="134" t="s">
        <v>90</v>
      </c>
      <c r="K27" s="135">
        <f>5652/36</f>
        <v>157</v>
      </c>
      <c r="L27" s="138">
        <v>0.19</v>
      </c>
      <c r="M27" s="126">
        <f t="shared" si="2"/>
        <v>29.83</v>
      </c>
      <c r="N27" s="75" t="str">
        <f t="shared" si="3"/>
        <v>----</v>
      </c>
    </row>
    <row r="28" spans="1:14" ht="15" customHeight="1">
      <c r="A28" s="1"/>
      <c r="B28" s="72" t="str">
        <f t="shared" si="0"/>
        <v>----</v>
      </c>
      <c r="C28" s="73">
        <v>0</v>
      </c>
      <c r="D28" s="73">
        <v>0</v>
      </c>
      <c r="E28" s="73">
        <v>0</v>
      </c>
      <c r="F28" s="73">
        <v>0</v>
      </c>
      <c r="G28" s="74">
        <f t="shared" si="1"/>
        <v>0</v>
      </c>
      <c r="H28" s="1"/>
      <c r="I28" s="137" t="s">
        <v>87</v>
      </c>
      <c r="J28" s="134" t="s">
        <v>90</v>
      </c>
      <c r="K28" s="135">
        <f>5302/36</f>
        <v>147.27777777777777</v>
      </c>
      <c r="L28" s="138">
        <v>0.19</v>
      </c>
      <c r="M28" s="126">
        <f t="shared" si="2"/>
        <v>27.98</v>
      </c>
      <c r="N28" s="75" t="str">
        <f t="shared" si="3"/>
        <v>----</v>
      </c>
    </row>
    <row r="29" spans="1:14" ht="15" customHeight="1">
      <c r="A29" s="1"/>
      <c r="B29" s="72" t="str">
        <f t="shared" si="0"/>
        <v>----</v>
      </c>
      <c r="C29" s="73">
        <v>0</v>
      </c>
      <c r="D29" s="73">
        <v>0</v>
      </c>
      <c r="E29" s="73">
        <v>0</v>
      </c>
      <c r="F29" s="73">
        <v>0</v>
      </c>
      <c r="G29" s="74">
        <f t="shared" si="1"/>
        <v>0</v>
      </c>
      <c r="H29" s="1"/>
      <c r="I29" s="133" t="s">
        <v>85</v>
      </c>
      <c r="J29" s="134" t="s">
        <v>91</v>
      </c>
      <c r="K29" s="135">
        <f>6007/36</f>
        <v>166.86111111111111</v>
      </c>
      <c r="L29" s="138">
        <v>0.19</v>
      </c>
      <c r="M29" s="126">
        <f t="shared" si="2"/>
        <v>31.7</v>
      </c>
      <c r="N29" s="75" t="str">
        <f t="shared" si="3"/>
        <v>----</v>
      </c>
    </row>
    <row r="30" spans="1:14" ht="15" customHeight="1">
      <c r="A30" s="1"/>
      <c r="B30" s="72" t="str">
        <f t="shared" si="0"/>
        <v>----</v>
      </c>
      <c r="C30" s="73">
        <v>0</v>
      </c>
      <c r="D30" s="73">
        <v>0</v>
      </c>
      <c r="E30" s="73">
        <v>0</v>
      </c>
      <c r="F30" s="73">
        <v>0</v>
      </c>
      <c r="G30" s="74">
        <f t="shared" si="1"/>
        <v>0</v>
      </c>
      <c r="H30" s="1"/>
      <c r="I30" s="137" t="s">
        <v>86</v>
      </c>
      <c r="J30" s="134" t="s">
        <v>91</v>
      </c>
      <c r="K30" s="135">
        <f>6007/36</f>
        <v>166.86111111111111</v>
      </c>
      <c r="L30" s="138">
        <v>0.19</v>
      </c>
      <c r="M30" s="126">
        <f t="shared" si="2"/>
        <v>31.7</v>
      </c>
      <c r="N30" s="75" t="str">
        <f t="shared" si="3"/>
        <v>----</v>
      </c>
    </row>
    <row r="31" spans="1:14" ht="15" customHeight="1">
      <c r="A31" s="1"/>
      <c r="B31" s="72" t="str">
        <f t="shared" si="0"/>
        <v>----</v>
      </c>
      <c r="C31" s="73">
        <v>0</v>
      </c>
      <c r="D31" s="73">
        <v>0</v>
      </c>
      <c r="E31" s="73">
        <v>0</v>
      </c>
      <c r="F31" s="73">
        <v>0</v>
      </c>
      <c r="G31" s="74">
        <f t="shared" si="1"/>
        <v>0</v>
      </c>
      <c r="H31" s="1"/>
      <c r="I31" s="137" t="s">
        <v>87</v>
      </c>
      <c r="J31" s="134" t="s">
        <v>91</v>
      </c>
      <c r="K31" s="135">
        <f>5640/36</f>
        <v>156.66666666666666</v>
      </c>
      <c r="L31" s="138">
        <v>0.19</v>
      </c>
      <c r="M31" s="126">
        <f t="shared" si="2"/>
        <v>29.77</v>
      </c>
      <c r="N31" s="75" t="str">
        <f t="shared" si="3"/>
        <v>----</v>
      </c>
    </row>
    <row r="32" spans="1:14" ht="15" customHeight="1">
      <c r="A32" s="1"/>
      <c r="B32" s="72" t="str">
        <f t="shared" si="0"/>
        <v>----</v>
      </c>
      <c r="C32" s="73">
        <v>0</v>
      </c>
      <c r="D32" s="73">
        <v>0</v>
      </c>
      <c r="E32" s="73">
        <v>0</v>
      </c>
      <c r="F32" s="73">
        <v>0</v>
      </c>
      <c r="G32" s="74">
        <f t="shared" si="1"/>
        <v>0</v>
      </c>
      <c r="H32" s="1"/>
      <c r="I32" s="196" t="s">
        <v>84</v>
      </c>
      <c r="J32" s="197"/>
      <c r="K32" s="135"/>
      <c r="L32" s="138"/>
      <c r="M32" s="126"/>
      <c r="N32" s="75" t="str">
        <f t="shared" si="3"/>
        <v>----</v>
      </c>
    </row>
    <row r="33" spans="1:14" ht="15" customHeight="1">
      <c r="A33" s="1"/>
      <c r="B33" s="72" t="str">
        <f t="shared" si="0"/>
        <v>----</v>
      </c>
      <c r="C33" s="73">
        <v>0</v>
      </c>
      <c r="D33" s="73">
        <v>0</v>
      </c>
      <c r="E33" s="73">
        <v>0</v>
      </c>
      <c r="F33" s="73">
        <v>0</v>
      </c>
      <c r="G33" s="74">
        <f t="shared" si="1"/>
        <v>0</v>
      </c>
      <c r="H33" s="1"/>
      <c r="I33" s="133" t="s">
        <v>92</v>
      </c>
      <c r="J33" s="134" t="s">
        <v>95</v>
      </c>
      <c r="K33" s="135">
        <f>3956/36</f>
        <v>109.88888888888889</v>
      </c>
      <c r="L33" s="138">
        <v>0.19</v>
      </c>
      <c r="M33" s="126">
        <f t="shared" si="2"/>
        <v>20.88</v>
      </c>
      <c r="N33" s="75" t="str">
        <f t="shared" si="3"/>
        <v>----</v>
      </c>
    </row>
    <row r="34" spans="1:14" ht="15" customHeight="1">
      <c r="A34" s="1"/>
      <c r="B34" s="72" t="str">
        <f t="shared" si="0"/>
        <v>----</v>
      </c>
      <c r="C34" s="73">
        <v>0</v>
      </c>
      <c r="D34" s="73">
        <v>0</v>
      </c>
      <c r="E34" s="73">
        <v>0</v>
      </c>
      <c r="F34" s="73">
        <v>0</v>
      </c>
      <c r="G34" s="74">
        <f t="shared" si="1"/>
        <v>0</v>
      </c>
      <c r="H34" s="1"/>
      <c r="I34" s="137" t="s">
        <v>93</v>
      </c>
      <c r="J34" s="134" t="s">
        <v>95</v>
      </c>
      <c r="K34" s="135">
        <f>3956/36</f>
        <v>109.88888888888889</v>
      </c>
      <c r="L34" s="138">
        <v>0.19</v>
      </c>
      <c r="M34" s="126">
        <f t="shared" si="2"/>
        <v>20.88</v>
      </c>
      <c r="N34" s="75" t="str">
        <f t="shared" si="3"/>
        <v>----</v>
      </c>
    </row>
    <row r="35" spans="1:14" ht="15" customHeight="1" thickBot="1">
      <c r="A35" s="1"/>
      <c r="B35" s="72" t="str">
        <f t="shared" si="0"/>
        <v>----</v>
      </c>
      <c r="C35" s="73">
        <v>0</v>
      </c>
      <c r="D35" s="73">
        <v>0</v>
      </c>
      <c r="E35" s="73">
        <v>0</v>
      </c>
      <c r="F35" s="73">
        <v>0</v>
      </c>
      <c r="G35" s="74">
        <f t="shared" si="1"/>
        <v>0</v>
      </c>
      <c r="H35" s="1"/>
      <c r="I35" s="137" t="s">
        <v>94</v>
      </c>
      <c r="J35" s="134" t="s">
        <v>95</v>
      </c>
      <c r="K35" s="135">
        <f>3711/36</f>
        <v>103.08333333333333</v>
      </c>
      <c r="L35" s="138">
        <v>0.19</v>
      </c>
      <c r="M35" s="126">
        <f t="shared" si="2"/>
        <v>19.59</v>
      </c>
      <c r="N35" s="75" t="str">
        <f t="shared" si="3"/>
        <v>----</v>
      </c>
    </row>
    <row r="36" spans="1:16" ht="20.25" customHeight="1" thickBot="1">
      <c r="A36" s="1"/>
      <c r="B36" s="78">
        <f>SUM(B20:B35)</f>
        <v>0</v>
      </c>
      <c r="C36" s="79"/>
      <c r="D36" s="79"/>
      <c r="E36" s="79"/>
      <c r="F36" s="79"/>
      <c r="G36" s="79"/>
      <c r="H36" s="1"/>
      <c r="I36" s="80"/>
      <c r="J36" s="52"/>
      <c r="K36" s="81"/>
      <c r="L36" s="82"/>
      <c r="M36" s="54" t="s">
        <v>29</v>
      </c>
      <c r="N36" s="83" t="str">
        <f>IF(SUM(N20:N35)=0,"----",SUM((N20:N35)))</f>
        <v>----</v>
      </c>
      <c r="P36" s="84"/>
    </row>
    <row r="37" spans="1:14" ht="15" customHeight="1" thickBot="1">
      <c r="A37" s="1"/>
      <c r="B37" s="79"/>
      <c r="C37" s="79"/>
      <c r="D37" s="79"/>
      <c r="E37" s="79"/>
      <c r="F37" s="79"/>
      <c r="H37" s="1"/>
      <c r="I37" s="85"/>
      <c r="J37" s="21"/>
      <c r="K37" s="86"/>
      <c r="L37" s="87"/>
      <c r="M37" s="23"/>
      <c r="N37" s="23"/>
    </row>
    <row r="38" spans="1:17" ht="25.5" customHeight="1">
      <c r="A38" s="1"/>
      <c r="B38" s="71"/>
      <c r="C38" s="2"/>
      <c r="D38" s="2"/>
      <c r="E38" s="2"/>
      <c r="F38" s="71"/>
      <c r="H38" s="1"/>
      <c r="I38" s="24" t="s">
        <v>30</v>
      </c>
      <c r="J38" s="25"/>
      <c r="K38" s="88"/>
      <c r="L38" s="89"/>
      <c r="M38" s="90" t="s">
        <v>31</v>
      </c>
      <c r="N38" s="26"/>
      <c r="P38" s="91"/>
      <c r="Q38" s="3"/>
    </row>
    <row r="39" spans="1:17" ht="28.5" customHeight="1">
      <c r="A39" s="1"/>
      <c r="B39" s="92" t="s">
        <v>32</v>
      </c>
      <c r="C39" s="93"/>
      <c r="D39" s="93"/>
      <c r="E39" s="94"/>
      <c r="F39" s="71"/>
      <c r="G39" s="95" t="s">
        <v>33</v>
      </c>
      <c r="H39" s="1"/>
      <c r="I39" s="175" t="s">
        <v>34</v>
      </c>
      <c r="J39" s="186"/>
      <c r="K39" s="186"/>
      <c r="L39" s="186"/>
      <c r="M39" s="184" t="s">
        <v>35</v>
      </c>
      <c r="N39" s="185"/>
      <c r="P39" s="3"/>
      <c r="Q39" s="3"/>
    </row>
    <row r="40" spans="1:17" ht="45" customHeight="1">
      <c r="A40" s="1"/>
      <c r="B40" s="67" t="s">
        <v>18</v>
      </c>
      <c r="C40" s="67" t="s">
        <v>36</v>
      </c>
      <c r="D40" s="67" t="s">
        <v>37</v>
      </c>
      <c r="E40" s="67" t="s">
        <v>38</v>
      </c>
      <c r="G40" s="67" t="s">
        <v>39</v>
      </c>
      <c r="H40" s="1"/>
      <c r="I40" s="96" t="s">
        <v>27</v>
      </c>
      <c r="J40" s="97" t="s">
        <v>56</v>
      </c>
      <c r="K40" s="3"/>
      <c r="L40" s="3"/>
      <c r="M40" s="36" t="s">
        <v>40</v>
      </c>
      <c r="N40" s="37" t="s">
        <v>56</v>
      </c>
      <c r="Q40" s="3"/>
    </row>
    <row r="41" spans="1:17" ht="15" customHeight="1" thickBot="1">
      <c r="A41" s="1"/>
      <c r="B41" s="98">
        <f>SUM(C20:C35)</f>
        <v>0</v>
      </c>
      <c r="C41" s="98">
        <f>COUNTIF(D20:F35,"&gt;=16")</f>
        <v>0</v>
      </c>
      <c r="D41" s="98">
        <f>(COUNTIF(D20:F35,"&gt;0")-C41)/2</f>
        <v>0</v>
      </c>
      <c r="E41" s="98">
        <f>SUM(B41:D41)</f>
        <v>0</v>
      </c>
      <c r="G41" s="99">
        <v>0</v>
      </c>
      <c r="H41" s="1"/>
      <c r="I41" s="100">
        <v>24</v>
      </c>
      <c r="J41" s="101" t="str">
        <f>IF(E41*I41=0,"----",E41*I41)</f>
        <v>----</v>
      </c>
      <c r="K41" s="3"/>
      <c r="L41" s="3"/>
      <c r="M41" s="102">
        <v>12</v>
      </c>
      <c r="N41" s="76" t="str">
        <f>IF($G41=0,"----",M41*$G41)</f>
        <v>----</v>
      </c>
      <c r="Q41" s="3"/>
    </row>
    <row r="42" spans="1:17" ht="15" customHeight="1" thickBot="1">
      <c r="A42" s="1"/>
      <c r="B42" s="12"/>
      <c r="C42" s="12"/>
      <c r="D42" s="12"/>
      <c r="E42" s="103"/>
      <c r="F42" s="12"/>
      <c r="G42" s="12"/>
      <c r="H42" s="1"/>
      <c r="I42" s="104"/>
      <c r="J42" s="105"/>
      <c r="K42" s="105"/>
      <c r="L42" s="106"/>
      <c r="M42" s="54" t="s">
        <v>41</v>
      </c>
      <c r="N42" s="83" t="str">
        <f>IF(SUM(J41,N41)=0,"----",SUM((J41,N41)))</f>
        <v>----</v>
      </c>
      <c r="Q42" s="3"/>
    </row>
    <row r="43" spans="1:15" s="12" customFormat="1" ht="15" customHeight="1">
      <c r="A43" s="5"/>
      <c r="E43" s="2"/>
      <c r="F43" s="2"/>
      <c r="H43" s="5"/>
      <c r="I43" s="2"/>
      <c r="J43" s="2"/>
      <c r="K43" s="2"/>
      <c r="L43" s="2"/>
      <c r="M43" s="2"/>
      <c r="N43" s="2"/>
      <c r="O43" s="11"/>
    </row>
    <row r="44" spans="1:15" s="12" customFormat="1" ht="20.25" customHeight="1">
      <c r="A44" s="5"/>
      <c r="H44" s="5"/>
      <c r="I44" s="2"/>
      <c r="J44" s="2"/>
      <c r="K44" s="2"/>
      <c r="L44" s="2"/>
      <c r="M44" s="23" t="s">
        <v>42</v>
      </c>
      <c r="N44" s="107">
        <f>SUM(N14,N36,N42)</f>
        <v>0</v>
      </c>
      <c r="O44" s="11"/>
    </row>
    <row r="45" spans="1:14" ht="15.75" thickBot="1">
      <c r="A45" s="1"/>
      <c r="B45" s="2"/>
      <c r="C45" s="2"/>
      <c r="D45" s="2"/>
      <c r="E45" s="2"/>
      <c r="F45" s="2"/>
      <c r="H45" s="1"/>
      <c r="M45" s="23" t="s">
        <v>43</v>
      </c>
      <c r="N45" s="107">
        <f>IF(G47=0,"",G47)</f>
      </c>
    </row>
    <row r="46" spans="1:14" ht="19.5" customHeight="1" thickBot="1">
      <c r="A46" s="1"/>
      <c r="B46" s="108" t="s">
        <v>44</v>
      </c>
      <c r="C46" s="109"/>
      <c r="D46" s="109"/>
      <c r="E46" s="109"/>
      <c r="F46" s="109"/>
      <c r="G46" s="110"/>
      <c r="H46" s="1"/>
      <c r="M46" s="111" t="s">
        <v>54</v>
      </c>
      <c r="N46" s="112">
        <f>IF(G47=0,"",SUM(N44:N45))</f>
      </c>
    </row>
    <row r="47" spans="1:14" ht="19.5" customHeight="1">
      <c r="A47" s="1"/>
      <c r="B47" s="183" t="s">
        <v>45</v>
      </c>
      <c r="C47" s="183"/>
      <c r="D47" s="183"/>
      <c r="E47" s="183"/>
      <c r="F47" s="183"/>
      <c r="G47" s="113">
        <v>0</v>
      </c>
      <c r="H47" s="1"/>
      <c r="M47" s="111"/>
      <c r="N47" s="114" t="s">
        <v>55</v>
      </c>
    </row>
    <row r="48" spans="1:14" ht="19.5" customHeight="1">
      <c r="A48" s="1"/>
      <c r="B48" s="1"/>
      <c r="C48" s="1"/>
      <c r="D48" s="1"/>
      <c r="E48" s="1"/>
      <c r="F48" s="1"/>
      <c r="G48" s="1"/>
      <c r="H48" s="1"/>
      <c r="I48" s="115" t="s">
        <v>46</v>
      </c>
      <c r="J48" s="29"/>
      <c r="K48" s="29"/>
      <c r="L48" s="29"/>
      <c r="M48" s="29"/>
      <c r="N48" s="29"/>
    </row>
    <row r="49" spans="1:17" ht="12.75">
      <c r="A49" s="2"/>
      <c r="B49" s="2"/>
      <c r="C49" s="2"/>
      <c r="D49" s="2"/>
      <c r="E49" s="2"/>
      <c r="F49" s="2"/>
      <c r="H49" s="2"/>
      <c r="P49" s="116"/>
      <c r="Q49" s="116"/>
    </row>
    <row r="50" ht="28.5" customHeight="1">
      <c r="H50" s="2"/>
    </row>
    <row r="51" ht="12.75">
      <c r="H51" s="2"/>
    </row>
    <row r="70" spans="2:7" ht="12.75">
      <c r="B70" s="11"/>
      <c r="C70" s="11"/>
      <c r="G70" s="12"/>
    </row>
  </sheetData>
  <sheetProtection/>
  <mergeCells count="15">
    <mergeCell ref="B47:F47"/>
    <mergeCell ref="I32:J32"/>
    <mergeCell ref="I11:N11"/>
    <mergeCell ref="I17:N17"/>
    <mergeCell ref="I18:N18"/>
    <mergeCell ref="I39:L39"/>
    <mergeCell ref="M39:N39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Lesotho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115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39814</v>
      </c>
      <c r="J13" s="119">
        <v>39820</v>
      </c>
      <c r="K13" s="44">
        <f>+J13-I13+1</f>
        <v>7</v>
      </c>
      <c r="L13" s="129">
        <v>1.78</v>
      </c>
      <c r="M13" s="130">
        <f>ROUND(K13*L13,2)</f>
        <v>12.46</v>
      </c>
      <c r="N13" s="46" t="str">
        <f>IF($G13=0,"----",M13)</f>
        <v>----</v>
      </c>
      <c r="P13" s="3"/>
      <c r="Q13" s="3"/>
    </row>
    <row r="14" spans="1:17" ht="15" customHeigh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39969</v>
      </c>
      <c r="J14" s="119">
        <v>40029</v>
      </c>
      <c r="K14" s="44">
        <f>+J14-I14+1</f>
        <v>61</v>
      </c>
      <c r="L14" s="129">
        <v>1.78</v>
      </c>
      <c r="M14" s="130">
        <f>ROUND(K14*L14,2)</f>
        <v>108.58</v>
      </c>
      <c r="N14" s="46" t="str">
        <f>IF($G14=0,"----",M14)</f>
        <v>----</v>
      </c>
      <c r="P14" s="3"/>
      <c r="Q14" s="3"/>
    </row>
    <row r="15" spans="1:17" ht="15" customHeight="1" thickBot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118">
        <v>40129</v>
      </c>
      <c r="J15" s="119">
        <v>40178</v>
      </c>
      <c r="K15" s="44">
        <f>+J15-I15+1</f>
        <v>50</v>
      </c>
      <c r="L15" s="129">
        <v>1.78</v>
      </c>
      <c r="M15" s="130">
        <f>ROUND(K15*L15,2)</f>
        <v>89</v>
      </c>
      <c r="N15" s="46" t="str">
        <f>IF($G15=0,"----",M15)</f>
        <v>----</v>
      </c>
      <c r="P15" s="3"/>
      <c r="Q15" s="3"/>
    </row>
    <row r="16" spans="1:17" ht="20.25" customHeight="1" thickBot="1">
      <c r="A16" s="1"/>
      <c r="B16" s="2"/>
      <c r="C16" s="2"/>
      <c r="D16" s="2"/>
      <c r="E16" s="2"/>
      <c r="F16" s="2"/>
      <c r="H16" s="1"/>
      <c r="I16" s="50"/>
      <c r="J16" s="51"/>
      <c r="K16" s="52"/>
      <c r="L16" s="53"/>
      <c r="M16" s="54" t="s">
        <v>13</v>
      </c>
      <c r="N16" s="55" t="str">
        <f>IF(SUM(N13:N15)=0,"----",SUM((N13:N15)))</f>
        <v>----</v>
      </c>
      <c r="P16" s="3"/>
      <c r="Q16" s="3"/>
    </row>
    <row r="17" spans="1:17" ht="15" customHeight="1" thickBot="1">
      <c r="A17" s="1"/>
      <c r="B17" s="2"/>
      <c r="C17" s="2"/>
      <c r="D17" s="2"/>
      <c r="E17" s="2"/>
      <c r="F17" s="2"/>
      <c r="H17" s="1"/>
      <c r="I17" s="20"/>
      <c r="J17" s="20"/>
      <c r="K17" s="21"/>
      <c r="L17" s="22"/>
      <c r="M17" s="23"/>
      <c r="N17" s="23"/>
      <c r="P17" s="3"/>
      <c r="Q17" s="3"/>
    </row>
    <row r="18" spans="1:17" s="12" customFormat="1" ht="25.5" customHeight="1">
      <c r="A18" s="5"/>
      <c r="B18" s="56"/>
      <c r="C18" s="56"/>
      <c r="D18" s="56"/>
      <c r="E18" s="56"/>
      <c r="F18" s="56"/>
      <c r="H18" s="5"/>
      <c r="I18" s="24" t="s">
        <v>14</v>
      </c>
      <c r="J18" s="25"/>
      <c r="K18" s="25"/>
      <c r="L18" s="25"/>
      <c r="M18" s="25"/>
      <c r="N18" s="57"/>
      <c r="O18" s="11"/>
      <c r="P18" s="2"/>
      <c r="Q18" s="2"/>
    </row>
    <row r="19" spans="1:17" ht="27" customHeight="1">
      <c r="A19" s="1"/>
      <c r="B19" s="58" t="s">
        <v>15</v>
      </c>
      <c r="C19" s="59"/>
      <c r="D19" s="60"/>
      <c r="E19" s="60"/>
      <c r="F19" s="60"/>
      <c r="G19" s="61"/>
      <c r="H19" s="1"/>
      <c r="I19" s="175" t="s">
        <v>58</v>
      </c>
      <c r="J19" s="176"/>
      <c r="K19" s="176"/>
      <c r="L19" s="176"/>
      <c r="M19" s="176"/>
      <c r="N19" s="177"/>
      <c r="Q19" s="3"/>
    </row>
    <row r="20" spans="1:17" ht="12.75">
      <c r="A20" s="1"/>
      <c r="B20" s="62" t="s">
        <v>16</v>
      </c>
      <c r="D20" s="63"/>
      <c r="E20" s="63"/>
      <c r="F20" s="63"/>
      <c r="G20" s="64"/>
      <c r="H20" s="1"/>
      <c r="I20" s="178" t="str">
        <f>"For FAFSA filers, your Untaxed Income is ---&gt; $"&amp;ROUND(SUM(B22:B22),2)</f>
        <v>For FAFSA filers, your Untaxed Income is ---&gt; $0</v>
      </c>
      <c r="J20" s="179"/>
      <c r="K20" s="179"/>
      <c r="L20" s="179"/>
      <c r="M20" s="179"/>
      <c r="N20" s="180"/>
      <c r="P20" s="3"/>
      <c r="Q20" s="3"/>
    </row>
    <row r="21" spans="1:16" s="71" customFormat="1" ht="45" customHeight="1">
      <c r="A21" s="65"/>
      <c r="B21" s="66" t="s">
        <v>17</v>
      </c>
      <c r="C21" s="67" t="s">
        <v>18</v>
      </c>
      <c r="D21" s="67" t="s">
        <v>19</v>
      </c>
      <c r="E21" s="67" t="s">
        <v>20</v>
      </c>
      <c r="F21" s="67" t="s">
        <v>21</v>
      </c>
      <c r="G21" s="67" t="s">
        <v>22</v>
      </c>
      <c r="H21" s="65"/>
      <c r="I21" s="68" t="s">
        <v>23</v>
      </c>
      <c r="J21" s="69" t="s">
        <v>24</v>
      </c>
      <c r="K21" s="36" t="s">
        <v>25</v>
      </c>
      <c r="L21" s="36" t="s">
        <v>26</v>
      </c>
      <c r="M21" s="36" t="s">
        <v>27</v>
      </c>
      <c r="N21" s="37" t="s">
        <v>56</v>
      </c>
      <c r="O21" s="70"/>
      <c r="P21" s="2"/>
    </row>
    <row r="22" spans="1:14" ht="15" customHeight="1" thickBo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64</v>
      </c>
      <c r="J22" s="121" t="s">
        <v>28</v>
      </c>
      <c r="K22" s="125">
        <v>204.91</v>
      </c>
      <c r="L22" s="122">
        <v>0.48</v>
      </c>
      <c r="M22" s="126">
        <f>ROUND(K22*L22,2)</f>
        <v>98.36</v>
      </c>
      <c r="N22" s="75" t="str">
        <f>IF($G22=0,"----",M22*$G22)</f>
        <v>----</v>
      </c>
    </row>
    <row r="23" spans="1:16" ht="20.25" customHeight="1" thickBot="1">
      <c r="A23" s="1"/>
      <c r="B23" s="78">
        <f>SUM(B22:B22)</f>
        <v>0</v>
      </c>
      <c r="C23" s="79"/>
      <c r="D23" s="79"/>
      <c r="E23" s="79"/>
      <c r="F23" s="79"/>
      <c r="G23" s="79"/>
      <c r="H23" s="1"/>
      <c r="I23" s="80"/>
      <c r="J23" s="52"/>
      <c r="K23" s="81"/>
      <c r="L23" s="82"/>
      <c r="M23" s="54" t="s">
        <v>29</v>
      </c>
      <c r="N23" s="83" t="str">
        <f>IF(SUM(N22:N22)=0,"----",SUM((N22:N22)))</f>
        <v>----</v>
      </c>
      <c r="P23" s="84"/>
    </row>
    <row r="24" spans="1:14" ht="15" customHeight="1" thickBot="1">
      <c r="A24" s="1"/>
      <c r="B24" s="79"/>
      <c r="C24" s="79"/>
      <c r="D24" s="79"/>
      <c r="E24" s="79"/>
      <c r="F24" s="79"/>
      <c r="H24" s="1"/>
      <c r="I24" s="85"/>
      <c r="J24" s="21"/>
      <c r="K24" s="86"/>
      <c r="L24" s="87"/>
      <c r="M24" s="23"/>
      <c r="N24" s="23"/>
    </row>
    <row r="25" spans="1:17" ht="25.5" customHeight="1">
      <c r="A25" s="1"/>
      <c r="B25" s="71"/>
      <c r="C25" s="2"/>
      <c r="D25" s="2"/>
      <c r="E25" s="2"/>
      <c r="F25" s="71"/>
      <c r="H25" s="1"/>
      <c r="I25" s="24" t="s">
        <v>30</v>
      </c>
      <c r="J25" s="25"/>
      <c r="K25" s="88"/>
      <c r="L25" s="89"/>
      <c r="M25" s="90" t="s">
        <v>31</v>
      </c>
      <c r="N25" s="26"/>
      <c r="P25" s="91"/>
      <c r="Q25" s="3"/>
    </row>
    <row r="26" spans="1:17" ht="28.5" customHeight="1">
      <c r="A26" s="1"/>
      <c r="B26" s="92" t="s">
        <v>32</v>
      </c>
      <c r="C26" s="93"/>
      <c r="D26" s="93"/>
      <c r="E26" s="94"/>
      <c r="F26" s="71"/>
      <c r="G26" s="95" t="s">
        <v>33</v>
      </c>
      <c r="H26" s="1"/>
      <c r="I26" s="175" t="s">
        <v>34</v>
      </c>
      <c r="J26" s="186"/>
      <c r="K26" s="186"/>
      <c r="L26" s="186"/>
      <c r="M26" s="184" t="s">
        <v>35</v>
      </c>
      <c r="N26" s="185"/>
      <c r="P26" s="3"/>
      <c r="Q26" s="3"/>
    </row>
    <row r="27" spans="1:17" ht="45" customHeight="1">
      <c r="A27" s="1"/>
      <c r="B27" s="67" t="s">
        <v>18</v>
      </c>
      <c r="C27" s="67" t="s">
        <v>36</v>
      </c>
      <c r="D27" s="67" t="s">
        <v>37</v>
      </c>
      <c r="E27" s="67" t="s">
        <v>38</v>
      </c>
      <c r="G27" s="67" t="s">
        <v>39</v>
      </c>
      <c r="H27" s="1"/>
      <c r="I27" s="96" t="s">
        <v>27</v>
      </c>
      <c r="J27" s="97" t="s">
        <v>56</v>
      </c>
      <c r="K27" s="3"/>
      <c r="L27" s="3"/>
      <c r="M27" s="36" t="s">
        <v>40</v>
      </c>
      <c r="N27" s="37" t="s">
        <v>56</v>
      </c>
      <c r="Q27" s="3"/>
    </row>
    <row r="28" spans="1:17" ht="15" customHeight="1" thickBot="1">
      <c r="A28" s="1"/>
      <c r="B28" s="98">
        <f>SUM(C22:C22)</f>
        <v>0</v>
      </c>
      <c r="C28" s="98">
        <f>COUNTIF(D22:F22,"&gt;=16")</f>
        <v>0</v>
      </c>
      <c r="D28" s="98">
        <f>(COUNTIF(D22:F22,"&gt;0")-C28)/2</f>
        <v>0</v>
      </c>
      <c r="E28" s="98">
        <f>SUM(B28:D28)</f>
        <v>0</v>
      </c>
      <c r="G28" s="99">
        <v>0</v>
      </c>
      <c r="H28" s="1"/>
      <c r="I28" s="100">
        <v>24</v>
      </c>
      <c r="J28" s="101" t="str">
        <f>IF(E28*I28=0,"----",E28*I28)</f>
        <v>----</v>
      </c>
      <c r="K28" s="3"/>
      <c r="L28" s="3"/>
      <c r="M28" s="102">
        <v>12</v>
      </c>
      <c r="N28" s="76" t="str">
        <f>IF($G28=0,"----",M28*$G28)</f>
        <v>----</v>
      </c>
      <c r="Q28" s="3"/>
    </row>
    <row r="29" spans="1:17" ht="15" customHeight="1" thickBot="1">
      <c r="A29" s="1"/>
      <c r="B29" s="12"/>
      <c r="C29" s="12"/>
      <c r="D29" s="12"/>
      <c r="E29" s="103"/>
      <c r="F29" s="12"/>
      <c r="G29" s="12"/>
      <c r="H29" s="1"/>
      <c r="I29" s="104"/>
      <c r="J29" s="105"/>
      <c r="K29" s="105"/>
      <c r="L29" s="106"/>
      <c r="M29" s="54" t="s">
        <v>41</v>
      </c>
      <c r="N29" s="83" t="str">
        <f>IF(SUM(J28,N28)=0,"----",SUM((J28,N28)))</f>
        <v>----</v>
      </c>
      <c r="Q29" s="3"/>
    </row>
    <row r="30" spans="1:15" s="12" customFormat="1" ht="15" customHeight="1">
      <c r="A30" s="5"/>
      <c r="E30" s="2"/>
      <c r="F30" s="2"/>
      <c r="H30" s="5"/>
      <c r="I30" s="2"/>
      <c r="J30" s="2"/>
      <c r="K30" s="2"/>
      <c r="L30" s="2"/>
      <c r="M30" s="2"/>
      <c r="N30" s="2"/>
      <c r="O30" s="11"/>
    </row>
    <row r="31" spans="1:15" s="12" customFormat="1" ht="20.25" customHeight="1">
      <c r="A31" s="5"/>
      <c r="H31" s="5"/>
      <c r="I31" s="2"/>
      <c r="J31" s="2"/>
      <c r="K31" s="2"/>
      <c r="L31" s="2"/>
      <c r="M31" s="23" t="s">
        <v>42</v>
      </c>
      <c r="N31" s="107">
        <f>SUM(N16,N23,N29)</f>
        <v>0</v>
      </c>
      <c r="O31" s="11"/>
    </row>
    <row r="32" spans="1:14" ht="15.75" thickBot="1">
      <c r="A32" s="1"/>
      <c r="B32" s="2"/>
      <c r="C32" s="2"/>
      <c r="D32" s="2"/>
      <c r="E32" s="2"/>
      <c r="F32" s="2"/>
      <c r="H32" s="1"/>
      <c r="M32" s="23" t="s">
        <v>43</v>
      </c>
      <c r="N32" s="107">
        <f>IF(G34=0,"",G34)</f>
      </c>
    </row>
    <row r="33" spans="1:14" ht="19.5" customHeight="1" thickBot="1">
      <c r="A33" s="1"/>
      <c r="B33" s="108" t="s">
        <v>44</v>
      </c>
      <c r="C33" s="109"/>
      <c r="D33" s="109"/>
      <c r="E33" s="109"/>
      <c r="F33" s="109"/>
      <c r="G33" s="110"/>
      <c r="H33" s="1"/>
      <c r="M33" s="111" t="s">
        <v>54</v>
      </c>
      <c r="N33" s="112">
        <f>IF(G34=0,"",SUM(N31:N32))</f>
      </c>
    </row>
    <row r="34" spans="1:14" ht="19.5" customHeight="1">
      <c r="A34" s="1"/>
      <c r="B34" s="183" t="s">
        <v>45</v>
      </c>
      <c r="C34" s="183"/>
      <c r="D34" s="183"/>
      <c r="E34" s="183"/>
      <c r="F34" s="183"/>
      <c r="G34" s="113">
        <v>0</v>
      </c>
      <c r="H34" s="1"/>
      <c r="M34" s="111"/>
      <c r="N34" s="114" t="s">
        <v>55</v>
      </c>
    </row>
    <row r="35" spans="1:14" ht="19.5" customHeight="1">
      <c r="A35" s="1"/>
      <c r="B35" s="1"/>
      <c r="C35" s="1"/>
      <c r="D35" s="1"/>
      <c r="E35" s="1"/>
      <c r="F35" s="1"/>
      <c r="G35" s="1"/>
      <c r="H35" s="1"/>
      <c r="I35" s="115" t="s">
        <v>46</v>
      </c>
      <c r="J35" s="29"/>
      <c r="K35" s="29"/>
      <c r="L35" s="29"/>
      <c r="M35" s="29"/>
      <c r="N35" s="29"/>
    </row>
    <row r="36" spans="1:17" ht="12.75">
      <c r="A36" s="2"/>
      <c r="B36" s="2"/>
      <c r="C36" s="2"/>
      <c r="D36" s="2"/>
      <c r="E36" s="2"/>
      <c r="F36" s="2"/>
      <c r="H36" s="2"/>
      <c r="P36" s="116"/>
      <c r="Q36" s="116"/>
    </row>
    <row r="37" ht="28.5" customHeight="1">
      <c r="H37" s="2"/>
    </row>
    <row r="38" ht="12.75">
      <c r="H38" s="2"/>
    </row>
    <row r="57" spans="2:7" ht="12.75">
      <c r="B57" s="11"/>
      <c r="C57" s="11"/>
      <c r="G57" s="12"/>
    </row>
  </sheetData>
  <sheetProtection/>
  <mergeCells count="14">
    <mergeCell ref="B34:F34"/>
    <mergeCell ref="I11:N11"/>
    <mergeCell ref="I19:N19"/>
    <mergeCell ref="I20:N20"/>
    <mergeCell ref="I26:L26"/>
    <mergeCell ref="M26:N26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Liberia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181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 t="s">
        <v>182</v>
      </c>
      <c r="J13" s="119"/>
      <c r="K13" s="44"/>
      <c r="L13" s="129"/>
      <c r="M13" s="130">
        <f>ROUND(K13*L13,2)</f>
        <v>0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61</v>
      </c>
      <c r="J20" s="121" t="s">
        <v>82</v>
      </c>
      <c r="K20" s="125">
        <v>320</v>
      </c>
      <c r="L20" s="122">
        <v>0.04</v>
      </c>
      <c r="M20" s="126">
        <f>ROUND(K20*L20,2)</f>
        <v>12.8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61</v>
      </c>
      <c r="J21" s="121" t="s">
        <v>129</v>
      </c>
      <c r="K21" s="125">
        <v>352</v>
      </c>
      <c r="L21" s="122">
        <v>0.06</v>
      </c>
      <c r="M21" s="126">
        <f>ROUND(K21*L21,2)</f>
        <v>21.12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33:F33"/>
    <mergeCell ref="I11:N11"/>
    <mergeCell ref="I17:N17"/>
    <mergeCell ref="I18:N18"/>
    <mergeCell ref="I25:L25"/>
    <mergeCell ref="M25:N25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0">
      <selection activeCell="I22" sqref="I22:N22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349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Ghana</v>
      </c>
      <c r="K5" s="8"/>
      <c r="L5" s="9"/>
      <c r="M5" s="10"/>
      <c r="N5" s="10"/>
      <c r="O5" s="11"/>
      <c r="P5" s="2"/>
      <c r="Q5" s="2"/>
    </row>
    <row r="6" spans="1:14" ht="18">
      <c r="A6" s="1"/>
      <c r="C6" s="258" t="s">
        <v>1</v>
      </c>
      <c r="D6" s="258"/>
      <c r="E6" s="259" t="s">
        <v>236</v>
      </c>
      <c r="F6" s="259"/>
      <c r="G6" s="259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258" t="s">
        <v>2</v>
      </c>
      <c r="D7" s="258"/>
      <c r="E7" s="260" t="s">
        <v>350</v>
      </c>
      <c r="F7" s="260"/>
      <c r="G7" s="260"/>
      <c r="H7" s="1"/>
      <c r="K7" s="15" t="s">
        <v>2</v>
      </c>
      <c r="L7" s="16" t="str">
        <f>E7</f>
        <v>Luis McPCV</v>
      </c>
      <c r="M7" s="17"/>
      <c r="N7" s="17"/>
    </row>
    <row r="8" spans="1:14" ht="30.75" customHeight="1">
      <c r="A8" s="1"/>
      <c r="B8" s="2"/>
      <c r="C8" s="258" t="s">
        <v>60</v>
      </c>
      <c r="D8" s="258"/>
      <c r="E8" s="260" t="s">
        <v>362</v>
      </c>
      <c r="F8" s="260"/>
      <c r="G8" s="260"/>
      <c r="H8" s="1"/>
      <c r="K8" s="15" t="s">
        <v>53</v>
      </c>
      <c r="L8" s="18" t="str">
        <f>E8</f>
        <v>Jan 01 - Dec 31, 2009</v>
      </c>
      <c r="M8" s="19"/>
      <c r="N8" s="19"/>
    </row>
    <row r="9" spans="1:17" ht="15" customHeight="1" thickBot="1">
      <c r="A9" s="1"/>
      <c r="B9" s="262" t="s">
        <v>361</v>
      </c>
      <c r="C9" s="262"/>
      <c r="D9" s="262"/>
      <c r="E9" s="262"/>
      <c r="F9" s="262"/>
      <c r="G9" s="26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62" t="s">
        <v>358</v>
      </c>
      <c r="C10" s="262"/>
      <c r="D10" s="262"/>
      <c r="E10" s="262"/>
      <c r="F10" s="262"/>
      <c r="G10" s="26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62"/>
      <c r="C11" s="262"/>
      <c r="D11" s="262"/>
      <c r="E11" s="262"/>
      <c r="F11" s="262"/>
      <c r="G11" s="26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263">
        <v>39974</v>
      </c>
      <c r="J13" s="264">
        <v>40044</v>
      </c>
      <c r="K13" s="44">
        <f aca="true" t="shared" si="0" ref="K13:K18">+J13-I13+1</f>
        <v>71</v>
      </c>
      <c r="L13" s="265">
        <v>1.9</v>
      </c>
      <c r="M13" s="45">
        <f aca="true" t="shared" si="1" ref="M13:M18">ROUND(K13*L13,2)</f>
        <v>134.9</v>
      </c>
      <c r="N13" s="46" t="str">
        <f aca="true" t="shared" si="2" ref="N13:N18"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263">
        <v>40086</v>
      </c>
      <c r="J14" s="264">
        <v>40159</v>
      </c>
      <c r="K14" s="44">
        <f t="shared" si="0"/>
        <v>74</v>
      </c>
      <c r="L14" s="265">
        <v>1.9</v>
      </c>
      <c r="M14" s="45">
        <f t="shared" si="1"/>
        <v>140.6</v>
      </c>
      <c r="N14" s="46" t="str">
        <f t="shared" si="2"/>
        <v>----</v>
      </c>
      <c r="P14" s="3"/>
      <c r="Q14" s="3"/>
    </row>
    <row r="15" spans="1:17" ht="15" customHeight="1" hidden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263"/>
      <c r="J15" s="264"/>
      <c r="K15" s="44">
        <f t="shared" si="0"/>
        <v>1</v>
      </c>
      <c r="L15" s="265"/>
      <c r="M15" s="45">
        <f t="shared" si="1"/>
        <v>0</v>
      </c>
      <c r="N15" s="46" t="str">
        <f t="shared" si="2"/>
        <v>----</v>
      </c>
      <c r="P15" s="3"/>
      <c r="Q15" s="3"/>
    </row>
    <row r="16" spans="1:17" ht="15" customHeight="1" hidden="1">
      <c r="A16" s="1"/>
      <c r="B16" s="2"/>
      <c r="C16" s="2"/>
      <c r="D16" s="41"/>
      <c r="E16" s="41"/>
      <c r="F16" s="42" t="s">
        <v>47</v>
      </c>
      <c r="G16" s="43">
        <v>0</v>
      </c>
      <c r="H16" s="1"/>
      <c r="I16" s="263"/>
      <c r="J16" s="264"/>
      <c r="K16" s="44">
        <f t="shared" si="0"/>
        <v>1</v>
      </c>
      <c r="L16" s="265"/>
      <c r="M16" s="45">
        <f t="shared" si="1"/>
        <v>0</v>
      </c>
      <c r="N16" s="46" t="str">
        <f t="shared" si="2"/>
        <v>----</v>
      </c>
      <c r="P16" s="3"/>
      <c r="Q16" s="3"/>
    </row>
    <row r="17" spans="1:17" ht="15" customHeight="1" hidden="1">
      <c r="A17" s="1"/>
      <c r="B17" s="2"/>
      <c r="C17" s="2"/>
      <c r="D17" s="41"/>
      <c r="E17" s="41"/>
      <c r="F17" s="42" t="s">
        <v>47</v>
      </c>
      <c r="G17" s="43">
        <v>0</v>
      </c>
      <c r="H17" s="1"/>
      <c r="I17" s="263"/>
      <c r="J17" s="264"/>
      <c r="K17" s="47">
        <f t="shared" si="0"/>
        <v>1</v>
      </c>
      <c r="L17" s="265"/>
      <c r="M17" s="45">
        <f t="shared" si="1"/>
        <v>0</v>
      </c>
      <c r="N17" s="48" t="str">
        <f t="shared" si="2"/>
        <v>----</v>
      </c>
      <c r="P17" s="3"/>
      <c r="Q17" s="3"/>
    </row>
    <row r="18" spans="1:17" ht="15" customHeight="1" hidden="1">
      <c r="A18" s="1"/>
      <c r="B18" s="2"/>
      <c r="C18" s="2"/>
      <c r="D18" s="41"/>
      <c r="E18" s="41"/>
      <c r="F18" s="42" t="s">
        <v>47</v>
      </c>
      <c r="G18" s="43">
        <v>0</v>
      </c>
      <c r="H18" s="1"/>
      <c r="I18" s="266"/>
      <c r="J18" s="267"/>
      <c r="K18" s="47">
        <f t="shared" si="0"/>
        <v>1</v>
      </c>
      <c r="L18" s="268"/>
      <c r="M18" s="45">
        <f t="shared" si="1"/>
        <v>0</v>
      </c>
      <c r="N18" s="49" t="str">
        <f t="shared" si="2"/>
        <v>----</v>
      </c>
      <c r="P18" s="3"/>
      <c r="Q18" s="3"/>
    </row>
    <row r="19" spans="1:17" ht="20.25" customHeight="1" thickBot="1">
      <c r="A19" s="1"/>
      <c r="B19" s="262" t="s">
        <v>359</v>
      </c>
      <c r="C19" s="262"/>
      <c r="D19" s="262"/>
      <c r="E19" s="262"/>
      <c r="F19" s="262"/>
      <c r="G19" s="262"/>
      <c r="H19" s="1"/>
      <c r="I19" s="50"/>
      <c r="J19" s="51"/>
      <c r="K19" s="52"/>
      <c r="L19" s="53"/>
      <c r="M19" s="54" t="s">
        <v>13</v>
      </c>
      <c r="N19" s="55" t="str">
        <f>IF(SUM(N13:N18)=0,"----",SUM((N13:N18)))</f>
        <v>----</v>
      </c>
      <c r="P19" s="3"/>
      <c r="Q19" s="3"/>
    </row>
    <row r="20" spans="1:17" ht="15" customHeight="1" thickBot="1">
      <c r="A20" s="1"/>
      <c r="B20" s="262"/>
      <c r="C20" s="262"/>
      <c r="D20" s="262"/>
      <c r="E20" s="262"/>
      <c r="F20" s="262"/>
      <c r="G20" s="262"/>
      <c r="H20" s="1"/>
      <c r="I20" s="20"/>
      <c r="J20" s="20"/>
      <c r="K20" s="21"/>
      <c r="L20" s="22"/>
      <c r="M20" s="23"/>
      <c r="N20" s="23"/>
      <c r="P20" s="3"/>
      <c r="Q20" s="3"/>
    </row>
    <row r="21" spans="1:17" s="12" customFormat="1" ht="25.5" customHeight="1">
      <c r="A21" s="5"/>
      <c r="B21" s="262"/>
      <c r="C21" s="262"/>
      <c r="D21" s="262"/>
      <c r="E21" s="262"/>
      <c r="F21" s="262"/>
      <c r="G21" s="262"/>
      <c r="H21" s="5"/>
      <c r="I21" s="24" t="s">
        <v>14</v>
      </c>
      <c r="J21" s="25"/>
      <c r="K21" s="25"/>
      <c r="L21" s="25"/>
      <c r="M21" s="25"/>
      <c r="N21" s="57"/>
      <c r="O21" s="11"/>
      <c r="P21" s="2"/>
      <c r="Q21" s="2"/>
    </row>
    <row r="22" spans="1:17" ht="27" customHeight="1">
      <c r="A22" s="1"/>
      <c r="B22" s="58" t="s">
        <v>15</v>
      </c>
      <c r="C22" s="59"/>
      <c r="D22" s="60"/>
      <c r="E22" s="60"/>
      <c r="F22" s="60"/>
      <c r="G22" s="61"/>
      <c r="H22" s="1"/>
      <c r="I22" s="175" t="s">
        <v>58</v>
      </c>
      <c r="J22" s="176"/>
      <c r="K22" s="176"/>
      <c r="L22" s="176"/>
      <c r="M22" s="176"/>
      <c r="N22" s="177"/>
      <c r="Q22" s="3"/>
    </row>
    <row r="23" spans="1:17" ht="12.75">
      <c r="A23" s="1"/>
      <c r="B23" s="62" t="s">
        <v>16</v>
      </c>
      <c r="D23" s="63"/>
      <c r="E23" s="63"/>
      <c r="F23" s="63"/>
      <c r="G23" s="64"/>
      <c r="H23" s="1"/>
      <c r="I23" s="178" t="str">
        <f>"For FAFSA filers, your Untaxed Income is ---&gt; $"&amp;ROUND(SUM(B25:B45),2)</f>
        <v>For FAFSA filers, your Untaxed Income is ---&gt; $1385.85</v>
      </c>
      <c r="J23" s="179"/>
      <c r="K23" s="179"/>
      <c r="L23" s="179"/>
      <c r="M23" s="179"/>
      <c r="N23" s="180"/>
      <c r="P23" s="3"/>
      <c r="Q23" s="3"/>
    </row>
    <row r="24" spans="1:16" s="71" customFormat="1" ht="45" customHeight="1">
      <c r="A24" s="65"/>
      <c r="B24" s="66" t="s">
        <v>17</v>
      </c>
      <c r="C24" s="67" t="s">
        <v>18</v>
      </c>
      <c r="D24" s="67" t="s">
        <v>19</v>
      </c>
      <c r="E24" s="67" t="s">
        <v>20</v>
      </c>
      <c r="F24" s="67" t="s">
        <v>21</v>
      </c>
      <c r="G24" s="67" t="s">
        <v>22</v>
      </c>
      <c r="H24" s="65"/>
      <c r="I24" s="68" t="s">
        <v>23</v>
      </c>
      <c r="J24" s="69" t="s">
        <v>24</v>
      </c>
      <c r="K24" s="36" t="s">
        <v>25</v>
      </c>
      <c r="L24" s="36" t="s">
        <v>26</v>
      </c>
      <c r="M24" s="36" t="s">
        <v>27</v>
      </c>
      <c r="N24" s="37" t="s">
        <v>56</v>
      </c>
      <c r="O24" s="70"/>
      <c r="P24" s="2"/>
    </row>
    <row r="25" spans="1:14" ht="15" customHeight="1">
      <c r="A25" s="1"/>
      <c r="B25" s="72" t="str">
        <f aca="true" t="shared" si="3" ref="B25:B45">IF($G25=0,"----",(K25-M25)*$G25)</f>
        <v>----</v>
      </c>
      <c r="C25" s="269">
        <v>0</v>
      </c>
      <c r="D25" s="269">
        <v>0</v>
      </c>
      <c r="E25" s="269">
        <v>0</v>
      </c>
      <c r="F25" s="269">
        <v>0</v>
      </c>
      <c r="G25" s="74">
        <f aca="true" t="shared" si="4" ref="G25:G45">C25+D25/29+E25/30+F25/31</f>
        <v>0</v>
      </c>
      <c r="H25" s="1"/>
      <c r="I25" s="270" t="s">
        <v>50</v>
      </c>
      <c r="J25" s="44" t="s">
        <v>82</v>
      </c>
      <c r="K25" s="271">
        <v>218.78</v>
      </c>
      <c r="L25" s="272">
        <v>0.4217</v>
      </c>
      <c r="M25" s="273">
        <f aca="true" t="shared" si="5" ref="M25:M45">ROUND(K25*L25,2)</f>
        <v>92.26</v>
      </c>
      <c r="N25" s="75" t="str">
        <f aca="true" t="shared" si="6" ref="N25:N45">IF($G25=0,"----",M25*$G25)</f>
        <v>----</v>
      </c>
    </row>
    <row r="26" spans="1:14" ht="15" customHeight="1">
      <c r="A26" s="1"/>
      <c r="B26" s="72" t="str">
        <f t="shared" si="3"/>
        <v>----</v>
      </c>
      <c r="C26" s="269">
        <v>0</v>
      </c>
      <c r="D26" s="269">
        <v>0</v>
      </c>
      <c r="E26" s="269">
        <v>0</v>
      </c>
      <c r="F26" s="269">
        <v>0</v>
      </c>
      <c r="G26" s="74">
        <f t="shared" si="4"/>
        <v>0</v>
      </c>
      <c r="H26" s="1"/>
      <c r="I26" s="274"/>
      <c r="J26" s="44" t="s">
        <v>129</v>
      </c>
      <c r="K26" s="271">
        <v>240.65</v>
      </c>
      <c r="L26" s="272">
        <v>0.3676</v>
      </c>
      <c r="M26" s="273">
        <f t="shared" si="5"/>
        <v>88.46</v>
      </c>
      <c r="N26" s="75" t="str">
        <f t="shared" si="6"/>
        <v>----</v>
      </c>
    </row>
    <row r="27" spans="1:14" ht="15" customHeight="1">
      <c r="A27" s="1"/>
      <c r="B27" s="72">
        <f t="shared" si="3"/>
        <v>1265.99</v>
      </c>
      <c r="C27" s="269">
        <v>11</v>
      </c>
      <c r="D27" s="269">
        <v>0</v>
      </c>
      <c r="E27" s="269">
        <v>0</v>
      </c>
      <c r="F27" s="269">
        <v>0</v>
      </c>
      <c r="G27" s="74">
        <f t="shared" si="4"/>
        <v>11</v>
      </c>
      <c r="H27" s="1"/>
      <c r="I27" s="270" t="s">
        <v>62</v>
      </c>
      <c r="J27" s="44" t="s">
        <v>82</v>
      </c>
      <c r="K27" s="271">
        <v>171.22</v>
      </c>
      <c r="L27" s="272">
        <v>0.3278</v>
      </c>
      <c r="M27" s="273">
        <f t="shared" si="5"/>
        <v>56.13</v>
      </c>
      <c r="N27" s="75">
        <f t="shared" si="6"/>
        <v>617.4300000000001</v>
      </c>
    </row>
    <row r="28" spans="1:14" ht="15" customHeight="1" thickBot="1">
      <c r="A28" s="1"/>
      <c r="B28" s="72">
        <f t="shared" si="3"/>
        <v>119.86</v>
      </c>
      <c r="C28" s="269">
        <v>1</v>
      </c>
      <c r="D28" s="269">
        <v>0</v>
      </c>
      <c r="E28" s="269">
        <v>0</v>
      </c>
      <c r="F28" s="269">
        <v>0</v>
      </c>
      <c r="G28" s="74">
        <f t="shared" si="4"/>
        <v>1</v>
      </c>
      <c r="H28" s="1"/>
      <c r="I28" s="274"/>
      <c r="J28" s="44" t="s">
        <v>129</v>
      </c>
      <c r="K28" s="271">
        <v>188.34</v>
      </c>
      <c r="L28" s="272">
        <v>0.3636</v>
      </c>
      <c r="M28" s="273">
        <f t="shared" si="5"/>
        <v>68.48</v>
      </c>
      <c r="N28" s="75">
        <f t="shared" si="6"/>
        <v>68.48</v>
      </c>
    </row>
    <row r="29" spans="1:14" ht="15" customHeight="1" hidden="1">
      <c r="A29" s="1"/>
      <c r="B29" s="72" t="str">
        <f t="shared" si="3"/>
        <v>----</v>
      </c>
      <c r="C29" s="269">
        <v>0</v>
      </c>
      <c r="D29" s="269">
        <v>0</v>
      </c>
      <c r="E29" s="269">
        <v>0</v>
      </c>
      <c r="F29" s="269">
        <v>0</v>
      </c>
      <c r="G29" s="74">
        <f t="shared" si="4"/>
        <v>0</v>
      </c>
      <c r="H29" s="1"/>
      <c r="I29" s="275"/>
      <c r="J29" s="44"/>
      <c r="K29" s="271"/>
      <c r="L29" s="272"/>
      <c r="M29" s="273">
        <f t="shared" si="5"/>
        <v>0</v>
      </c>
      <c r="N29" s="75" t="str">
        <f t="shared" si="6"/>
        <v>----</v>
      </c>
    </row>
    <row r="30" spans="1:14" ht="15" customHeight="1" hidden="1">
      <c r="A30" s="1"/>
      <c r="B30" s="72" t="str">
        <f t="shared" si="3"/>
        <v>----</v>
      </c>
      <c r="C30" s="269">
        <v>0</v>
      </c>
      <c r="D30" s="269">
        <v>0</v>
      </c>
      <c r="E30" s="269">
        <v>0</v>
      </c>
      <c r="F30" s="269">
        <v>0</v>
      </c>
      <c r="G30" s="74">
        <f t="shared" si="4"/>
        <v>0</v>
      </c>
      <c r="H30" s="1"/>
      <c r="I30" s="275"/>
      <c r="J30" s="44"/>
      <c r="K30" s="271"/>
      <c r="L30" s="272"/>
      <c r="M30" s="273">
        <f t="shared" si="5"/>
        <v>0</v>
      </c>
      <c r="N30" s="75" t="str">
        <f t="shared" si="6"/>
        <v>----</v>
      </c>
    </row>
    <row r="31" spans="1:14" ht="15" customHeight="1" hidden="1">
      <c r="A31" s="1"/>
      <c r="B31" s="72" t="str">
        <f t="shared" si="3"/>
        <v>----</v>
      </c>
      <c r="C31" s="269">
        <v>0</v>
      </c>
      <c r="D31" s="269">
        <v>0</v>
      </c>
      <c r="E31" s="269">
        <v>0</v>
      </c>
      <c r="F31" s="269">
        <v>0</v>
      </c>
      <c r="G31" s="74">
        <f t="shared" si="4"/>
        <v>0</v>
      </c>
      <c r="H31" s="1"/>
      <c r="I31" s="275"/>
      <c r="J31" s="44"/>
      <c r="K31" s="271"/>
      <c r="L31" s="272"/>
      <c r="M31" s="273">
        <f t="shared" si="5"/>
        <v>0</v>
      </c>
      <c r="N31" s="75" t="str">
        <f t="shared" si="6"/>
        <v>----</v>
      </c>
    </row>
    <row r="32" spans="1:14" ht="15" customHeight="1" hidden="1">
      <c r="A32" s="1"/>
      <c r="B32" s="72" t="str">
        <f t="shared" si="3"/>
        <v>----</v>
      </c>
      <c r="C32" s="269">
        <v>0</v>
      </c>
      <c r="D32" s="269">
        <v>0</v>
      </c>
      <c r="E32" s="269">
        <v>0</v>
      </c>
      <c r="F32" s="269">
        <v>0</v>
      </c>
      <c r="G32" s="74">
        <f t="shared" si="4"/>
        <v>0</v>
      </c>
      <c r="H32" s="1"/>
      <c r="I32" s="275"/>
      <c r="J32" s="44"/>
      <c r="K32" s="271"/>
      <c r="L32" s="272"/>
      <c r="M32" s="273">
        <f t="shared" si="5"/>
        <v>0</v>
      </c>
      <c r="N32" s="75" t="str">
        <f t="shared" si="6"/>
        <v>----</v>
      </c>
    </row>
    <row r="33" spans="1:14" ht="15" customHeight="1" hidden="1">
      <c r="A33" s="1"/>
      <c r="B33" s="72" t="str">
        <f t="shared" si="3"/>
        <v>----</v>
      </c>
      <c r="C33" s="269">
        <v>0</v>
      </c>
      <c r="D33" s="269">
        <v>0</v>
      </c>
      <c r="E33" s="269">
        <v>0</v>
      </c>
      <c r="F33" s="269">
        <v>0</v>
      </c>
      <c r="G33" s="74">
        <f t="shared" si="4"/>
        <v>0</v>
      </c>
      <c r="H33" s="1"/>
      <c r="I33" s="275"/>
      <c r="J33" s="44"/>
      <c r="K33" s="271"/>
      <c r="L33" s="272"/>
      <c r="M33" s="273">
        <f t="shared" si="5"/>
        <v>0</v>
      </c>
      <c r="N33" s="75" t="str">
        <f t="shared" si="6"/>
        <v>----</v>
      </c>
    </row>
    <row r="34" spans="1:14" ht="15" customHeight="1" hidden="1">
      <c r="A34" s="1"/>
      <c r="B34" s="72" t="str">
        <f t="shared" si="3"/>
        <v>----</v>
      </c>
      <c r="C34" s="269">
        <v>0</v>
      </c>
      <c r="D34" s="269">
        <v>0</v>
      </c>
      <c r="E34" s="269">
        <v>0</v>
      </c>
      <c r="F34" s="269">
        <v>0</v>
      </c>
      <c r="G34" s="74">
        <f t="shared" si="4"/>
        <v>0</v>
      </c>
      <c r="H34" s="1"/>
      <c r="I34" s="275"/>
      <c r="J34" s="44"/>
      <c r="K34" s="271"/>
      <c r="L34" s="272"/>
      <c r="M34" s="273">
        <f t="shared" si="5"/>
        <v>0</v>
      </c>
      <c r="N34" s="75" t="str">
        <f t="shared" si="6"/>
        <v>----</v>
      </c>
    </row>
    <row r="35" spans="1:14" ht="15" customHeight="1" hidden="1">
      <c r="A35" s="1"/>
      <c r="B35" s="72" t="str">
        <f t="shared" si="3"/>
        <v>----</v>
      </c>
      <c r="C35" s="269">
        <v>0</v>
      </c>
      <c r="D35" s="269">
        <v>0</v>
      </c>
      <c r="E35" s="269">
        <v>0</v>
      </c>
      <c r="F35" s="269">
        <v>0</v>
      </c>
      <c r="G35" s="74">
        <f t="shared" si="4"/>
        <v>0</v>
      </c>
      <c r="H35" s="1"/>
      <c r="I35" s="275"/>
      <c r="J35" s="44"/>
      <c r="K35" s="271"/>
      <c r="L35" s="272"/>
      <c r="M35" s="273">
        <f t="shared" si="5"/>
        <v>0</v>
      </c>
      <c r="N35" s="75" t="str">
        <f t="shared" si="6"/>
        <v>----</v>
      </c>
    </row>
    <row r="36" spans="1:14" ht="15" customHeight="1" hidden="1">
      <c r="A36" s="1"/>
      <c r="B36" s="72" t="str">
        <f t="shared" si="3"/>
        <v>----</v>
      </c>
      <c r="C36" s="269">
        <v>0</v>
      </c>
      <c r="D36" s="269">
        <v>0</v>
      </c>
      <c r="E36" s="269">
        <v>0</v>
      </c>
      <c r="F36" s="269">
        <v>0</v>
      </c>
      <c r="G36" s="74">
        <f t="shared" si="4"/>
        <v>0</v>
      </c>
      <c r="H36" s="1"/>
      <c r="I36" s="275"/>
      <c r="J36" s="44"/>
      <c r="K36" s="271"/>
      <c r="L36" s="272"/>
      <c r="M36" s="273">
        <f t="shared" si="5"/>
        <v>0</v>
      </c>
      <c r="N36" s="75" t="str">
        <f t="shared" si="6"/>
        <v>----</v>
      </c>
    </row>
    <row r="37" spans="1:14" ht="15" customHeight="1" hidden="1">
      <c r="A37" s="1"/>
      <c r="B37" s="72" t="str">
        <f t="shared" si="3"/>
        <v>----</v>
      </c>
      <c r="C37" s="269">
        <v>0</v>
      </c>
      <c r="D37" s="269">
        <v>0</v>
      </c>
      <c r="E37" s="269">
        <v>0</v>
      </c>
      <c r="F37" s="269">
        <v>0</v>
      </c>
      <c r="G37" s="74">
        <f t="shared" si="4"/>
        <v>0</v>
      </c>
      <c r="H37" s="1"/>
      <c r="I37" s="275"/>
      <c r="J37" s="44"/>
      <c r="K37" s="271"/>
      <c r="L37" s="272"/>
      <c r="M37" s="273">
        <f t="shared" si="5"/>
        <v>0</v>
      </c>
      <c r="N37" s="75" t="str">
        <f t="shared" si="6"/>
        <v>----</v>
      </c>
    </row>
    <row r="38" spans="1:14" ht="15" customHeight="1" hidden="1">
      <c r="A38" s="1"/>
      <c r="B38" s="72" t="str">
        <f t="shared" si="3"/>
        <v>----</v>
      </c>
      <c r="C38" s="269">
        <v>0</v>
      </c>
      <c r="D38" s="269">
        <v>0</v>
      </c>
      <c r="E38" s="269">
        <v>0</v>
      </c>
      <c r="F38" s="269">
        <v>0</v>
      </c>
      <c r="G38" s="74">
        <f t="shared" si="4"/>
        <v>0</v>
      </c>
      <c r="H38" s="1"/>
      <c r="I38" s="275"/>
      <c r="J38" s="44"/>
      <c r="K38" s="271"/>
      <c r="L38" s="272"/>
      <c r="M38" s="273">
        <f t="shared" si="5"/>
        <v>0</v>
      </c>
      <c r="N38" s="75" t="str">
        <f t="shared" si="6"/>
        <v>----</v>
      </c>
    </row>
    <row r="39" spans="1:14" ht="15" customHeight="1" hidden="1">
      <c r="A39" s="1"/>
      <c r="B39" s="72" t="str">
        <f t="shared" si="3"/>
        <v>----</v>
      </c>
      <c r="C39" s="269">
        <v>0</v>
      </c>
      <c r="D39" s="269">
        <v>0</v>
      </c>
      <c r="E39" s="269">
        <v>0</v>
      </c>
      <c r="F39" s="269">
        <v>0</v>
      </c>
      <c r="G39" s="74">
        <f t="shared" si="4"/>
        <v>0</v>
      </c>
      <c r="H39" s="1"/>
      <c r="I39" s="275"/>
      <c r="J39" s="44"/>
      <c r="K39" s="271"/>
      <c r="L39" s="272"/>
      <c r="M39" s="273">
        <f t="shared" si="5"/>
        <v>0</v>
      </c>
      <c r="N39" s="75" t="str">
        <f t="shared" si="6"/>
        <v>----</v>
      </c>
    </row>
    <row r="40" spans="1:14" ht="15" customHeight="1" hidden="1">
      <c r="A40" s="1"/>
      <c r="B40" s="72" t="str">
        <f t="shared" si="3"/>
        <v>----</v>
      </c>
      <c r="C40" s="269">
        <v>0</v>
      </c>
      <c r="D40" s="269">
        <v>0</v>
      </c>
      <c r="E40" s="269">
        <v>0</v>
      </c>
      <c r="F40" s="269">
        <v>0</v>
      </c>
      <c r="G40" s="74">
        <f t="shared" si="4"/>
        <v>0</v>
      </c>
      <c r="H40" s="1"/>
      <c r="I40" s="275"/>
      <c r="J40" s="44"/>
      <c r="K40" s="271"/>
      <c r="L40" s="272"/>
      <c r="M40" s="273">
        <f t="shared" si="5"/>
        <v>0</v>
      </c>
      <c r="N40" s="75" t="str">
        <f t="shared" si="6"/>
        <v>----</v>
      </c>
    </row>
    <row r="41" spans="1:14" ht="15" customHeight="1" hidden="1">
      <c r="A41" s="1"/>
      <c r="B41" s="72" t="str">
        <f t="shared" si="3"/>
        <v>----</v>
      </c>
      <c r="C41" s="269">
        <v>0</v>
      </c>
      <c r="D41" s="269">
        <v>0</v>
      </c>
      <c r="E41" s="269">
        <v>0</v>
      </c>
      <c r="F41" s="269">
        <v>0</v>
      </c>
      <c r="G41" s="74">
        <f t="shared" si="4"/>
        <v>0</v>
      </c>
      <c r="H41" s="1"/>
      <c r="I41" s="275"/>
      <c r="J41" s="44"/>
      <c r="K41" s="271"/>
      <c r="L41" s="272"/>
      <c r="M41" s="273">
        <f t="shared" si="5"/>
        <v>0</v>
      </c>
      <c r="N41" s="75" t="str">
        <f t="shared" si="6"/>
        <v>----</v>
      </c>
    </row>
    <row r="42" spans="1:14" ht="15" customHeight="1" hidden="1">
      <c r="A42" s="1"/>
      <c r="B42" s="72" t="str">
        <f t="shared" si="3"/>
        <v>----</v>
      </c>
      <c r="C42" s="269">
        <v>0</v>
      </c>
      <c r="D42" s="269">
        <v>0</v>
      </c>
      <c r="E42" s="269">
        <v>0</v>
      </c>
      <c r="F42" s="269">
        <v>0</v>
      </c>
      <c r="G42" s="74">
        <f t="shared" si="4"/>
        <v>0</v>
      </c>
      <c r="H42" s="1"/>
      <c r="I42" s="275"/>
      <c r="J42" s="44"/>
      <c r="K42" s="271"/>
      <c r="L42" s="272"/>
      <c r="M42" s="273">
        <f t="shared" si="5"/>
        <v>0</v>
      </c>
      <c r="N42" s="75" t="str">
        <f t="shared" si="6"/>
        <v>----</v>
      </c>
    </row>
    <row r="43" spans="1:14" ht="15" customHeight="1" hidden="1">
      <c r="A43" s="1"/>
      <c r="B43" s="72" t="str">
        <f t="shared" si="3"/>
        <v>----</v>
      </c>
      <c r="C43" s="269">
        <v>0</v>
      </c>
      <c r="D43" s="269">
        <v>0</v>
      </c>
      <c r="E43" s="269">
        <v>0</v>
      </c>
      <c r="F43" s="269">
        <v>0</v>
      </c>
      <c r="G43" s="74">
        <f t="shared" si="4"/>
        <v>0</v>
      </c>
      <c r="H43" s="1"/>
      <c r="I43" s="276"/>
      <c r="J43" s="47"/>
      <c r="K43" s="271"/>
      <c r="L43" s="272"/>
      <c r="M43" s="277">
        <f t="shared" si="5"/>
        <v>0</v>
      </c>
      <c r="N43" s="76" t="str">
        <f t="shared" si="6"/>
        <v>----</v>
      </c>
    </row>
    <row r="44" spans="1:14" ht="15" customHeight="1" hidden="1">
      <c r="A44" s="1"/>
      <c r="B44" s="72" t="str">
        <f t="shared" si="3"/>
        <v>----</v>
      </c>
      <c r="C44" s="269">
        <v>0</v>
      </c>
      <c r="D44" s="269">
        <v>0</v>
      </c>
      <c r="E44" s="269">
        <v>0</v>
      </c>
      <c r="F44" s="269">
        <v>0</v>
      </c>
      <c r="G44" s="74">
        <f t="shared" si="4"/>
        <v>0</v>
      </c>
      <c r="H44" s="1"/>
      <c r="I44" s="276"/>
      <c r="J44" s="47"/>
      <c r="K44" s="271"/>
      <c r="L44" s="272"/>
      <c r="M44" s="277">
        <f t="shared" si="5"/>
        <v>0</v>
      </c>
      <c r="N44" s="76" t="str">
        <f t="shared" si="6"/>
        <v>----</v>
      </c>
    </row>
    <row r="45" spans="1:14" ht="15" customHeight="1" hidden="1">
      <c r="A45" s="1"/>
      <c r="B45" s="72" t="str">
        <f t="shared" si="3"/>
        <v>----</v>
      </c>
      <c r="C45" s="269">
        <v>0</v>
      </c>
      <c r="D45" s="269">
        <v>0</v>
      </c>
      <c r="E45" s="269">
        <v>0</v>
      </c>
      <c r="F45" s="269">
        <v>0</v>
      </c>
      <c r="G45" s="74">
        <f t="shared" si="4"/>
        <v>0</v>
      </c>
      <c r="H45" s="1"/>
      <c r="I45" s="276"/>
      <c r="J45" s="47"/>
      <c r="K45" s="271"/>
      <c r="L45" s="272"/>
      <c r="M45" s="277">
        <f t="shared" si="5"/>
        <v>0</v>
      </c>
      <c r="N45" s="77" t="str">
        <f t="shared" si="6"/>
        <v>----</v>
      </c>
    </row>
    <row r="46" spans="1:16" ht="20.25" customHeight="1" thickBot="1">
      <c r="A46" s="1"/>
      <c r="B46" s="78">
        <f>SUM(B25:B45)</f>
        <v>1385.85</v>
      </c>
      <c r="C46" s="278" t="s">
        <v>353</v>
      </c>
      <c r="D46" s="79"/>
      <c r="E46" s="279"/>
      <c r="F46" s="79"/>
      <c r="G46" s="79"/>
      <c r="H46" s="1"/>
      <c r="I46" s="80"/>
      <c r="J46" s="52"/>
      <c r="K46" s="81"/>
      <c r="L46" s="82"/>
      <c r="M46" s="54" t="s">
        <v>29</v>
      </c>
      <c r="N46" s="83">
        <f>IF(SUM(N25:N45)=0,"----",SUM((N25:N45)))</f>
        <v>685.9100000000001</v>
      </c>
      <c r="P46" s="84"/>
    </row>
    <row r="47" spans="1:14" ht="15" customHeight="1" thickBot="1">
      <c r="A47" s="1"/>
      <c r="B47" s="280" t="s">
        <v>360</v>
      </c>
      <c r="C47" s="280"/>
      <c r="D47" s="280"/>
      <c r="E47" s="280"/>
      <c r="F47" s="280"/>
      <c r="G47" s="280"/>
      <c r="H47" s="1"/>
      <c r="I47" s="85"/>
      <c r="J47" s="21"/>
      <c r="K47" s="86"/>
      <c r="L47" s="87"/>
      <c r="M47" s="23"/>
      <c r="N47" s="23"/>
    </row>
    <row r="48" spans="1:17" ht="25.5" customHeight="1">
      <c r="A48" s="1"/>
      <c r="B48" s="280"/>
      <c r="C48" s="280"/>
      <c r="D48" s="280"/>
      <c r="E48" s="280"/>
      <c r="F48" s="280"/>
      <c r="G48" s="280"/>
      <c r="H48" s="1"/>
      <c r="I48" s="24" t="s">
        <v>30</v>
      </c>
      <c r="J48" s="25"/>
      <c r="K48" s="88"/>
      <c r="L48" s="89"/>
      <c r="M48" s="90" t="s">
        <v>31</v>
      </c>
      <c r="N48" s="26"/>
      <c r="P48" s="91"/>
      <c r="Q48" s="3"/>
    </row>
    <row r="49" spans="1:17" ht="28.5" customHeight="1">
      <c r="A49" s="1"/>
      <c r="B49" s="92" t="s">
        <v>32</v>
      </c>
      <c r="C49" s="93"/>
      <c r="D49" s="93"/>
      <c r="E49" s="94"/>
      <c r="F49" s="71"/>
      <c r="G49" s="95" t="s">
        <v>33</v>
      </c>
      <c r="H49" s="1"/>
      <c r="I49" s="175" t="s">
        <v>34</v>
      </c>
      <c r="J49" s="186"/>
      <c r="K49" s="186"/>
      <c r="L49" s="186"/>
      <c r="M49" s="184" t="s">
        <v>35</v>
      </c>
      <c r="N49" s="185"/>
      <c r="P49" s="3"/>
      <c r="Q49" s="3"/>
    </row>
    <row r="50" spans="1:17" ht="45" customHeight="1">
      <c r="A50" s="1"/>
      <c r="B50" s="67" t="s">
        <v>18</v>
      </c>
      <c r="C50" s="67" t="s">
        <v>36</v>
      </c>
      <c r="D50" s="67" t="s">
        <v>37</v>
      </c>
      <c r="E50" s="67" t="s">
        <v>38</v>
      </c>
      <c r="G50" s="67" t="s">
        <v>39</v>
      </c>
      <c r="H50" s="1"/>
      <c r="I50" s="96" t="s">
        <v>27</v>
      </c>
      <c r="J50" s="97" t="s">
        <v>56</v>
      </c>
      <c r="K50" s="3"/>
      <c r="L50" s="3"/>
      <c r="M50" s="36" t="s">
        <v>40</v>
      </c>
      <c r="N50" s="37" t="s">
        <v>56</v>
      </c>
      <c r="Q50" s="3"/>
    </row>
    <row r="51" spans="1:17" ht="15" customHeight="1" thickBot="1">
      <c r="A51" s="1"/>
      <c r="B51" s="98">
        <f>SUM(C25:C45)</f>
        <v>12</v>
      </c>
      <c r="C51" s="98">
        <f>COUNTIF(D25:F45,"&gt;=16")</f>
        <v>0</v>
      </c>
      <c r="D51" s="98">
        <f>(COUNTIF(D25:F45,"&gt;0")-C51)/2</f>
        <v>0</v>
      </c>
      <c r="E51" s="98">
        <f>SUM(B51:D51)</f>
        <v>12</v>
      </c>
      <c r="G51" s="99">
        <v>0</v>
      </c>
      <c r="H51" s="1"/>
      <c r="I51" s="100">
        <v>24</v>
      </c>
      <c r="J51" s="101">
        <f>IF(E51*I51=0,"----",E51*I51)</f>
        <v>288</v>
      </c>
      <c r="K51" s="3"/>
      <c r="L51" s="3"/>
      <c r="M51" s="102">
        <v>12</v>
      </c>
      <c r="N51" s="76" t="str">
        <f>IF($G51=0,"----",M51*$G51)</f>
        <v>----</v>
      </c>
      <c r="Q51" s="3"/>
    </row>
    <row r="52" spans="1:17" ht="15" customHeight="1" thickBot="1">
      <c r="A52" s="1"/>
      <c r="B52" s="12"/>
      <c r="C52" s="12"/>
      <c r="D52" s="12"/>
      <c r="E52" s="103"/>
      <c r="F52" s="12"/>
      <c r="G52" s="12"/>
      <c r="H52" s="1"/>
      <c r="I52" s="104"/>
      <c r="J52" s="105"/>
      <c r="K52" s="105"/>
      <c r="L52" s="106"/>
      <c r="M52" s="54" t="s">
        <v>41</v>
      </c>
      <c r="N52" s="83">
        <f>IF(SUM(J51,N51)=0,"----",SUM((J51,N51)))</f>
        <v>288</v>
      </c>
      <c r="Q52" s="3"/>
    </row>
    <row r="53" spans="1:15" s="12" customFormat="1" ht="15" customHeight="1">
      <c r="A53" s="5"/>
      <c r="B53" s="280" t="s">
        <v>355</v>
      </c>
      <c r="C53" s="280"/>
      <c r="D53" s="280"/>
      <c r="E53" s="280"/>
      <c r="F53" s="280"/>
      <c r="G53" s="280"/>
      <c r="H53" s="5"/>
      <c r="I53" s="2"/>
      <c r="J53" s="2"/>
      <c r="K53" s="2"/>
      <c r="L53" s="2"/>
      <c r="M53" s="2"/>
      <c r="N53" s="2"/>
      <c r="O53" s="11"/>
    </row>
    <row r="54" spans="1:15" s="12" customFormat="1" ht="20.25" customHeight="1">
      <c r="A54" s="5"/>
      <c r="B54" s="280"/>
      <c r="C54" s="280"/>
      <c r="D54" s="280"/>
      <c r="E54" s="280"/>
      <c r="F54" s="280"/>
      <c r="G54" s="280"/>
      <c r="H54" s="5"/>
      <c r="I54" s="2"/>
      <c r="J54" s="2"/>
      <c r="K54" s="2"/>
      <c r="L54" s="2"/>
      <c r="M54" s="23" t="s">
        <v>42</v>
      </c>
      <c r="N54" s="107">
        <f>SUM(N19,N46,N52)</f>
        <v>973.9100000000001</v>
      </c>
      <c r="O54" s="11"/>
    </row>
    <row r="55" spans="1:14" ht="15.75" thickBot="1">
      <c r="A55" s="1"/>
      <c r="B55" s="281"/>
      <c r="C55" s="281"/>
      <c r="D55" s="281"/>
      <c r="E55" s="281"/>
      <c r="F55" s="281"/>
      <c r="G55" s="281"/>
      <c r="H55" s="1"/>
      <c r="M55" s="23" t="s">
        <v>43</v>
      </c>
      <c r="N55" s="107">
        <f>IF(G57=0,"",G57)</f>
        <v>2700</v>
      </c>
    </row>
    <row r="56" spans="1:14" ht="19.5" customHeight="1" thickBot="1">
      <c r="A56" s="1"/>
      <c r="B56" s="108" t="s">
        <v>44</v>
      </c>
      <c r="C56" s="109"/>
      <c r="D56" s="109"/>
      <c r="E56" s="109"/>
      <c r="F56" s="109"/>
      <c r="G56" s="110"/>
      <c r="H56" s="1"/>
      <c r="M56" s="111" t="s">
        <v>54</v>
      </c>
      <c r="N56" s="112">
        <f>IF(G57=0,"",SUM(N54:N55))</f>
        <v>3673.91</v>
      </c>
    </row>
    <row r="57" spans="1:14" ht="19.5" customHeight="1">
      <c r="A57" s="1"/>
      <c r="B57" s="183" t="s">
        <v>45</v>
      </c>
      <c r="C57" s="183"/>
      <c r="D57" s="183"/>
      <c r="E57" s="183"/>
      <c r="F57" s="183"/>
      <c r="G57" s="113">
        <v>2700</v>
      </c>
      <c r="H57" s="1"/>
      <c r="M57" s="111"/>
      <c r="N57" s="114" t="s">
        <v>356</v>
      </c>
    </row>
    <row r="58" spans="1:14" ht="19.5" customHeight="1">
      <c r="A58" s="1"/>
      <c r="B58" s="1"/>
      <c r="C58" s="1"/>
      <c r="D58" s="1"/>
      <c r="E58" s="1"/>
      <c r="F58" s="1"/>
      <c r="G58" s="1"/>
      <c r="H58" s="1"/>
      <c r="I58" s="115" t="s">
        <v>46</v>
      </c>
      <c r="J58" s="29"/>
      <c r="K58" s="29"/>
      <c r="L58" s="29"/>
      <c r="M58" s="29"/>
      <c r="N58" s="29"/>
    </row>
    <row r="59" spans="1:17" ht="12.75">
      <c r="A59" s="2"/>
      <c r="B59" s="2"/>
      <c r="C59" s="2"/>
      <c r="D59" s="2"/>
      <c r="E59" s="2"/>
      <c r="F59" s="2"/>
      <c r="H59" s="2"/>
      <c r="P59" s="116"/>
      <c r="Q59" s="116"/>
    </row>
    <row r="60" ht="28.5" customHeight="1">
      <c r="H60" s="2"/>
    </row>
    <row r="61" ht="12.75">
      <c r="H61" s="2"/>
    </row>
    <row r="80" spans="2:7" ht="12.75">
      <c r="B80" s="11"/>
      <c r="C80" s="11"/>
      <c r="G80" s="12"/>
    </row>
  </sheetData>
  <sheetProtection/>
  <mergeCells count="21">
    <mergeCell ref="B53:G55"/>
    <mergeCell ref="B57:F57"/>
    <mergeCell ref="I22:N22"/>
    <mergeCell ref="I23:N23"/>
    <mergeCell ref="I25:I26"/>
    <mergeCell ref="I27:I28"/>
    <mergeCell ref="B47:G48"/>
    <mergeCell ref="I49:L49"/>
    <mergeCell ref="M49:N49"/>
    <mergeCell ref="C8:D8"/>
    <mergeCell ref="E8:G8"/>
    <mergeCell ref="B9:G9"/>
    <mergeCell ref="B10:G11"/>
    <mergeCell ref="I11:N11"/>
    <mergeCell ref="B19:G21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Q6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Macedonia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161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40069</v>
      </c>
      <c r="J13" s="119">
        <v>40142</v>
      </c>
      <c r="K13" s="44">
        <f>+J13-I13+1</f>
        <v>74</v>
      </c>
      <c r="L13" s="129">
        <v>3</v>
      </c>
      <c r="M13" s="130">
        <f>ROUND(K13*L13,2)</f>
        <v>222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$"&amp;ROUND(SUM(B20:B25),2)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 aca="true" t="shared" si="0" ref="B20:B25"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 aca="true" t="shared" si="1" ref="G20:G25">C20+D20/29+E20/30+F20/31</f>
        <v>0</v>
      </c>
      <c r="H20" s="1"/>
      <c r="I20" s="133" t="s">
        <v>50</v>
      </c>
      <c r="J20" s="151" t="s">
        <v>51</v>
      </c>
      <c r="K20" s="135">
        <f>12470/41.6</f>
        <v>299.75961538461536</v>
      </c>
      <c r="L20" s="136">
        <v>0.48</v>
      </c>
      <c r="M20" s="126">
        <f aca="true" t="shared" si="2" ref="M20:M25">ROUND(K20*L20,2)</f>
        <v>143.88</v>
      </c>
      <c r="N20" s="75" t="str">
        <f aca="true" t="shared" si="3" ref="N20:N25">IF($G20=0,"----",M20*$G20)</f>
        <v>----</v>
      </c>
    </row>
    <row r="21" spans="1:14" ht="15" customHeight="1">
      <c r="A21" s="1"/>
      <c r="B21" s="72" t="str">
        <f t="shared" si="0"/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t="shared" si="1"/>
        <v>0</v>
      </c>
      <c r="H21" s="1"/>
      <c r="I21" s="137" t="s">
        <v>140</v>
      </c>
      <c r="J21" s="151" t="s">
        <v>51</v>
      </c>
      <c r="K21" s="135">
        <f>11430/41.6</f>
        <v>274.75961538461536</v>
      </c>
      <c r="L21" s="138">
        <v>0.48</v>
      </c>
      <c r="M21" s="126">
        <f t="shared" si="2"/>
        <v>131.88</v>
      </c>
      <c r="N21" s="75" t="str">
        <f t="shared" si="3"/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33" t="s">
        <v>50</v>
      </c>
      <c r="J22" s="151" t="s">
        <v>162</v>
      </c>
      <c r="K22" s="135">
        <f>14000/41.6</f>
        <v>336.53846153846155</v>
      </c>
      <c r="L22" s="138">
        <v>0.1071</v>
      </c>
      <c r="M22" s="126">
        <f t="shared" si="2"/>
        <v>36.04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37" t="s">
        <v>140</v>
      </c>
      <c r="J23" s="151" t="s">
        <v>162</v>
      </c>
      <c r="K23" s="135">
        <f>11500/41.6</f>
        <v>276.4423076923077</v>
      </c>
      <c r="L23" s="138">
        <v>0.1304</v>
      </c>
      <c r="M23" s="126">
        <f t="shared" si="2"/>
        <v>36.05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33" t="s">
        <v>50</v>
      </c>
      <c r="J24" s="152" t="s">
        <v>129</v>
      </c>
      <c r="K24" s="135">
        <f>14000/46</f>
        <v>304.3478260869565</v>
      </c>
      <c r="L24" s="138">
        <v>0.1071</v>
      </c>
      <c r="M24" s="126">
        <f t="shared" si="2"/>
        <v>32.6</v>
      </c>
      <c r="N24" s="75" t="str">
        <f t="shared" si="3"/>
        <v>----</v>
      </c>
    </row>
    <row r="25" spans="1:14" ht="15" customHeight="1" thickBo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37" t="s">
        <v>140</v>
      </c>
      <c r="J25" s="152" t="s">
        <v>125</v>
      </c>
      <c r="K25" s="135">
        <f>11500/46</f>
        <v>250</v>
      </c>
      <c r="L25" s="138">
        <v>0.1304</v>
      </c>
      <c r="M25" s="126">
        <f t="shared" si="2"/>
        <v>32.6</v>
      </c>
      <c r="N25" s="75" t="str">
        <f t="shared" si="3"/>
        <v>----</v>
      </c>
    </row>
    <row r="26" spans="1:16" ht="20.25" customHeight="1" thickBot="1">
      <c r="A26" s="1"/>
      <c r="B26" s="78">
        <f>SUM(B20:B25)</f>
        <v>0</v>
      </c>
      <c r="C26" s="79"/>
      <c r="D26" s="79"/>
      <c r="E26" s="79"/>
      <c r="F26" s="79"/>
      <c r="G26" s="79"/>
      <c r="H26" s="1"/>
      <c r="I26" s="80"/>
      <c r="J26" s="52"/>
      <c r="K26" s="81"/>
      <c r="L26" s="82"/>
      <c r="M26" s="54" t="s">
        <v>29</v>
      </c>
      <c r="N26" s="83" t="str">
        <f>IF(SUM(N20:N25)=0,"----",SUM((N20:N25)))</f>
        <v>----</v>
      </c>
      <c r="P26" s="84"/>
    </row>
    <row r="27" spans="1:14" ht="15" customHeight="1" thickBot="1">
      <c r="A27" s="1"/>
      <c r="B27" s="79"/>
      <c r="C27" s="79"/>
      <c r="D27" s="79"/>
      <c r="E27" s="79"/>
      <c r="F27" s="79"/>
      <c r="H27" s="1"/>
      <c r="I27" s="85"/>
      <c r="J27" s="21"/>
      <c r="K27" s="86"/>
      <c r="L27" s="87"/>
      <c r="M27" s="23"/>
      <c r="N27" s="23"/>
    </row>
    <row r="28" spans="1:17" ht="25.5" customHeight="1">
      <c r="A28" s="1"/>
      <c r="B28" s="71"/>
      <c r="C28" s="2"/>
      <c r="D28" s="2"/>
      <c r="E28" s="2"/>
      <c r="F28" s="71"/>
      <c r="H28" s="1"/>
      <c r="I28" s="24" t="s">
        <v>30</v>
      </c>
      <c r="J28" s="25"/>
      <c r="K28" s="88"/>
      <c r="L28" s="89"/>
      <c r="M28" s="90" t="s">
        <v>31</v>
      </c>
      <c r="N28" s="26"/>
      <c r="P28" s="91"/>
      <c r="Q28" s="3"/>
    </row>
    <row r="29" spans="1:17" ht="28.5" customHeight="1">
      <c r="A29" s="1"/>
      <c r="B29" s="92" t="s">
        <v>32</v>
      </c>
      <c r="C29" s="93"/>
      <c r="D29" s="93"/>
      <c r="E29" s="94"/>
      <c r="F29" s="71"/>
      <c r="G29" s="95" t="s">
        <v>33</v>
      </c>
      <c r="H29" s="1"/>
      <c r="I29" s="175" t="s">
        <v>34</v>
      </c>
      <c r="J29" s="186"/>
      <c r="K29" s="186"/>
      <c r="L29" s="186"/>
      <c r="M29" s="184" t="s">
        <v>35</v>
      </c>
      <c r="N29" s="185"/>
      <c r="P29" s="3"/>
      <c r="Q29" s="3"/>
    </row>
    <row r="30" spans="1:17" ht="45" customHeight="1">
      <c r="A30" s="1"/>
      <c r="B30" s="67" t="s">
        <v>18</v>
      </c>
      <c r="C30" s="67" t="s">
        <v>36</v>
      </c>
      <c r="D30" s="67" t="s">
        <v>37</v>
      </c>
      <c r="E30" s="67" t="s">
        <v>38</v>
      </c>
      <c r="G30" s="67" t="s">
        <v>39</v>
      </c>
      <c r="H30" s="1"/>
      <c r="I30" s="96" t="s">
        <v>27</v>
      </c>
      <c r="J30" s="97" t="s">
        <v>56</v>
      </c>
      <c r="K30" s="3"/>
      <c r="L30" s="3"/>
      <c r="M30" s="36" t="s">
        <v>40</v>
      </c>
      <c r="N30" s="37" t="s">
        <v>56</v>
      </c>
      <c r="Q30" s="3"/>
    </row>
    <row r="31" spans="1:17" ht="15" customHeight="1" thickBot="1">
      <c r="A31" s="1"/>
      <c r="B31" s="98">
        <f>SUM(C20:C25)</f>
        <v>0</v>
      </c>
      <c r="C31" s="98">
        <f>COUNTIF(D20:F25,"&gt;=16")</f>
        <v>0</v>
      </c>
      <c r="D31" s="98">
        <f>(COUNTIF(D20:F25,"&gt;0")-C31)/2</f>
        <v>0</v>
      </c>
      <c r="E31" s="98">
        <f>SUM(B31:D31)</f>
        <v>0</v>
      </c>
      <c r="G31" s="99">
        <v>0</v>
      </c>
      <c r="H31" s="1"/>
      <c r="I31" s="100">
        <v>24</v>
      </c>
      <c r="J31" s="101" t="str">
        <f>IF(E31*I31=0,"----",E31*I31)</f>
        <v>----</v>
      </c>
      <c r="K31" s="3"/>
      <c r="L31" s="3"/>
      <c r="M31" s="102">
        <v>12</v>
      </c>
      <c r="N31" s="76" t="str">
        <f>IF($G31=0,"----",M31*$G31)</f>
        <v>----</v>
      </c>
      <c r="Q31" s="3"/>
    </row>
    <row r="32" spans="1:17" ht="15" customHeight="1" thickBot="1">
      <c r="A32" s="1"/>
      <c r="B32" s="12"/>
      <c r="C32" s="12"/>
      <c r="D32" s="12"/>
      <c r="E32" s="103"/>
      <c r="F32" s="12"/>
      <c r="G32" s="12"/>
      <c r="H32" s="1"/>
      <c r="I32" s="104"/>
      <c r="J32" s="105"/>
      <c r="K32" s="105"/>
      <c r="L32" s="106"/>
      <c r="M32" s="54" t="s">
        <v>41</v>
      </c>
      <c r="N32" s="83" t="str">
        <f>IF(SUM(J31,N31)=0,"----",SUM((J31,N31)))</f>
        <v>----</v>
      </c>
      <c r="Q32" s="3"/>
    </row>
    <row r="33" spans="1:15" s="12" customFormat="1" ht="15" customHeight="1">
      <c r="A33" s="5"/>
      <c r="E33" s="2"/>
      <c r="F33" s="2"/>
      <c r="H33" s="5"/>
      <c r="I33" s="2"/>
      <c r="J33" s="2"/>
      <c r="K33" s="2"/>
      <c r="L33" s="2"/>
      <c r="M33" s="2"/>
      <c r="N33" s="2"/>
      <c r="O33" s="11"/>
    </row>
    <row r="34" spans="1:15" s="12" customFormat="1" ht="20.25" customHeight="1">
      <c r="A34" s="5"/>
      <c r="H34" s="5"/>
      <c r="I34" s="2"/>
      <c r="J34" s="2"/>
      <c r="K34" s="2"/>
      <c r="L34" s="2"/>
      <c r="M34" s="23" t="s">
        <v>42</v>
      </c>
      <c r="N34" s="107">
        <f>SUM(N14,N26,N32)</f>
        <v>0</v>
      </c>
      <c r="O34" s="11"/>
    </row>
    <row r="35" spans="1:14" ht="15.75" thickBot="1">
      <c r="A35" s="1"/>
      <c r="B35" s="2"/>
      <c r="C35" s="2"/>
      <c r="D35" s="2"/>
      <c r="E35" s="2"/>
      <c r="F35" s="2"/>
      <c r="H35" s="1"/>
      <c r="M35" s="23" t="s">
        <v>43</v>
      </c>
      <c r="N35" s="107">
        <f>IF(G37=0,"",G37)</f>
      </c>
    </row>
    <row r="36" spans="1:14" ht="19.5" customHeight="1" thickBot="1">
      <c r="A36" s="1"/>
      <c r="B36" s="108" t="s">
        <v>44</v>
      </c>
      <c r="C36" s="109"/>
      <c r="D36" s="109"/>
      <c r="E36" s="109"/>
      <c r="F36" s="109"/>
      <c r="G36" s="110"/>
      <c r="H36" s="1"/>
      <c r="M36" s="111" t="s">
        <v>54</v>
      </c>
      <c r="N36" s="112">
        <f>IF(G37=0,"",SUM(N34:N35))</f>
      </c>
    </row>
    <row r="37" spans="1:14" ht="19.5" customHeight="1">
      <c r="A37" s="1"/>
      <c r="B37" s="183" t="s">
        <v>45</v>
      </c>
      <c r="C37" s="183"/>
      <c r="D37" s="183"/>
      <c r="E37" s="183"/>
      <c r="F37" s="183"/>
      <c r="G37" s="113">
        <v>0</v>
      </c>
      <c r="H37" s="1"/>
      <c r="M37" s="111"/>
      <c r="N37" s="114" t="s">
        <v>55</v>
      </c>
    </row>
    <row r="38" spans="1:14" ht="19.5" customHeight="1">
      <c r="A38" s="1"/>
      <c r="B38" s="1"/>
      <c r="C38" s="1"/>
      <c r="D38" s="1"/>
      <c r="E38" s="1"/>
      <c r="F38" s="1"/>
      <c r="G38" s="1"/>
      <c r="H38" s="1"/>
      <c r="I38" s="115" t="s">
        <v>46</v>
      </c>
      <c r="J38" s="29"/>
      <c r="K38" s="29"/>
      <c r="L38" s="29"/>
      <c r="M38" s="29"/>
      <c r="N38" s="29"/>
    </row>
    <row r="39" spans="1:17" ht="12.75">
      <c r="A39" s="2"/>
      <c r="B39" s="2"/>
      <c r="C39" s="2"/>
      <c r="D39" s="2"/>
      <c r="E39" s="2"/>
      <c r="F39" s="2"/>
      <c r="H39" s="2"/>
      <c r="P39" s="116"/>
      <c r="Q39" s="116"/>
    </row>
    <row r="40" ht="28.5" customHeight="1">
      <c r="H40" s="2"/>
    </row>
    <row r="41" ht="12.75">
      <c r="H41" s="2"/>
    </row>
    <row r="60" spans="2:7" ht="12.75">
      <c r="B60" s="11"/>
      <c r="C60" s="11"/>
      <c r="G60" s="12"/>
    </row>
  </sheetData>
  <sheetProtection/>
  <mergeCells count="14">
    <mergeCell ref="B37:F37"/>
    <mergeCell ref="I11:N11"/>
    <mergeCell ref="I17:N17"/>
    <mergeCell ref="I18:N18"/>
    <mergeCell ref="I29:L29"/>
    <mergeCell ref="M29:N29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2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Madagascar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117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40123</v>
      </c>
      <c r="J13" s="119">
        <v>40137</v>
      </c>
      <c r="K13" s="44">
        <f>+J13-I13+1</f>
        <v>15</v>
      </c>
      <c r="L13" s="129">
        <v>2.59</v>
      </c>
      <c r="M13" s="130">
        <f>ROUND(K13*L13,2)</f>
        <v>38.85</v>
      </c>
      <c r="N13" s="46" t="str">
        <f>IF($G13=0,"----",M13)</f>
        <v>----</v>
      </c>
      <c r="P13" s="3"/>
      <c r="Q13" s="3"/>
    </row>
    <row r="14" spans="1:17" ht="15" customHeigh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40133</v>
      </c>
      <c r="J14" s="119">
        <v>40141</v>
      </c>
      <c r="K14" s="44">
        <f>+J14-I14+1</f>
        <v>9</v>
      </c>
      <c r="L14" s="129">
        <v>2.59</v>
      </c>
      <c r="M14" s="130">
        <f>ROUND(K14*L14,2)</f>
        <v>23.31</v>
      </c>
      <c r="N14" s="46" t="str">
        <f>IF($G14=0,"----",M14)</f>
        <v>----</v>
      </c>
      <c r="P14" s="3"/>
      <c r="Q14" s="3"/>
    </row>
    <row r="15" spans="1:17" ht="15" customHeight="1" thickBot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118">
        <v>40155</v>
      </c>
      <c r="J15" s="119">
        <v>40178</v>
      </c>
      <c r="K15" s="44">
        <f>+J15-I15+1</f>
        <v>24</v>
      </c>
      <c r="L15" s="129">
        <v>2.59</v>
      </c>
      <c r="M15" s="130">
        <f>ROUND(K15*L15,2)</f>
        <v>62.16</v>
      </c>
      <c r="N15" s="46" t="str">
        <f>IF($G15=0,"----",M15)</f>
        <v>----</v>
      </c>
      <c r="P15" s="3"/>
      <c r="Q15" s="3"/>
    </row>
    <row r="16" spans="1:17" ht="20.25" customHeight="1" thickBot="1">
      <c r="A16" s="1"/>
      <c r="B16" s="2"/>
      <c r="C16" s="2"/>
      <c r="D16" s="2"/>
      <c r="E16" s="2"/>
      <c r="F16" s="2"/>
      <c r="H16" s="1"/>
      <c r="I16" s="50"/>
      <c r="J16" s="51"/>
      <c r="K16" s="52"/>
      <c r="L16" s="53"/>
      <c r="M16" s="54" t="s">
        <v>13</v>
      </c>
      <c r="N16" s="55" t="str">
        <f>IF(SUM(N13:N15)=0,"----",SUM((N13:N15)))</f>
        <v>----</v>
      </c>
      <c r="P16" s="3"/>
      <c r="Q16" s="3"/>
    </row>
    <row r="17" spans="1:17" ht="15" customHeight="1" thickBot="1">
      <c r="A17" s="1"/>
      <c r="B17" s="2"/>
      <c r="C17" s="2"/>
      <c r="D17" s="2"/>
      <c r="E17" s="2"/>
      <c r="F17" s="2"/>
      <c r="H17" s="1"/>
      <c r="I17" s="20"/>
      <c r="J17" s="20"/>
      <c r="K17" s="21"/>
      <c r="L17" s="22"/>
      <c r="M17" s="23"/>
      <c r="N17" s="23"/>
      <c r="P17" s="3"/>
      <c r="Q17" s="3"/>
    </row>
    <row r="18" spans="1:17" s="12" customFormat="1" ht="25.5" customHeight="1">
      <c r="A18" s="5"/>
      <c r="B18" s="56"/>
      <c r="C18" s="56"/>
      <c r="D18" s="56"/>
      <c r="E18" s="56"/>
      <c r="F18" s="56"/>
      <c r="H18" s="5"/>
      <c r="I18" s="24" t="s">
        <v>14</v>
      </c>
      <c r="J18" s="25"/>
      <c r="K18" s="25"/>
      <c r="L18" s="25"/>
      <c r="M18" s="25"/>
      <c r="N18" s="57"/>
      <c r="O18" s="11"/>
      <c r="P18" s="2"/>
      <c r="Q18" s="2"/>
    </row>
    <row r="19" spans="1:17" ht="27" customHeight="1">
      <c r="A19" s="1"/>
      <c r="B19" s="58" t="s">
        <v>15</v>
      </c>
      <c r="C19" s="59"/>
      <c r="D19" s="60"/>
      <c r="E19" s="60"/>
      <c r="F19" s="60"/>
      <c r="G19" s="61"/>
      <c r="H19" s="1"/>
      <c r="I19" s="175" t="s">
        <v>58</v>
      </c>
      <c r="J19" s="176"/>
      <c r="K19" s="176"/>
      <c r="L19" s="176"/>
      <c r="M19" s="176"/>
      <c r="N19" s="177"/>
      <c r="Q19" s="3"/>
    </row>
    <row r="20" spans="1:17" ht="12.75">
      <c r="A20" s="1"/>
      <c r="B20" s="62" t="s">
        <v>16</v>
      </c>
      <c r="D20" s="63"/>
      <c r="E20" s="63"/>
      <c r="F20" s="63"/>
      <c r="G20" s="64"/>
      <c r="H20" s="1"/>
      <c r="I20" s="178" t="str">
        <f>"For FAFSA filers, your Untaxed Income is ---&gt; $"&amp;ROUND(SUM(B22:B27),2)</f>
        <v>For FAFSA filers, your Untaxed Income is ---&gt; $0</v>
      </c>
      <c r="J20" s="179"/>
      <c r="K20" s="179"/>
      <c r="L20" s="179"/>
      <c r="M20" s="179"/>
      <c r="N20" s="180"/>
      <c r="P20" s="3"/>
      <c r="Q20" s="3"/>
    </row>
    <row r="21" spans="1:16" s="71" customFormat="1" ht="45" customHeight="1">
      <c r="A21" s="65"/>
      <c r="B21" s="66" t="s">
        <v>17</v>
      </c>
      <c r="C21" s="67" t="s">
        <v>18</v>
      </c>
      <c r="D21" s="67" t="s">
        <v>19</v>
      </c>
      <c r="E21" s="67" t="s">
        <v>20</v>
      </c>
      <c r="F21" s="67" t="s">
        <v>21</v>
      </c>
      <c r="G21" s="67" t="s">
        <v>22</v>
      </c>
      <c r="H21" s="65"/>
      <c r="I21" s="68" t="s">
        <v>23</v>
      </c>
      <c r="J21" s="69" t="s">
        <v>24</v>
      </c>
      <c r="K21" s="36" t="s">
        <v>25</v>
      </c>
      <c r="L21" s="36" t="s">
        <v>26</v>
      </c>
      <c r="M21" s="36" t="s">
        <v>27</v>
      </c>
      <c r="N21" s="37" t="s">
        <v>56</v>
      </c>
      <c r="O21" s="70"/>
      <c r="P21" s="2"/>
    </row>
    <row r="22" spans="1:14" ht="15" customHeight="1">
      <c r="A22" s="1"/>
      <c r="B22" s="72" t="str">
        <f aca="true" t="shared" si="0" ref="B22:B27"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aca="true" t="shared" si="1" ref="G22:G27">C22+D22/29+E22/30+F22/31</f>
        <v>0</v>
      </c>
      <c r="H22" s="1"/>
      <c r="I22" s="124" t="s">
        <v>64</v>
      </c>
      <c r="J22" s="121" t="s">
        <v>125</v>
      </c>
      <c r="K22" s="125">
        <v>130.44</v>
      </c>
      <c r="L22" s="122">
        <v>0.467</v>
      </c>
      <c r="M22" s="126">
        <f aca="true" t="shared" si="2" ref="M22:M27">ROUND(K22*L22,2)</f>
        <v>60.92</v>
      </c>
      <c r="N22" s="75" t="str">
        <f aca="true" t="shared" si="3" ref="N22:N27">IF($G22=0,"----",M22*$G22)</f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24" t="s">
        <v>64</v>
      </c>
      <c r="J23" s="121" t="s">
        <v>126</v>
      </c>
      <c r="K23" s="125">
        <v>130.44</v>
      </c>
      <c r="L23" s="122">
        <v>0.467</v>
      </c>
      <c r="M23" s="126">
        <f t="shared" si="2"/>
        <v>60.92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24" t="s">
        <v>64</v>
      </c>
      <c r="J24" s="121" t="s">
        <v>127</v>
      </c>
      <c r="K24" s="125">
        <v>130.44</v>
      </c>
      <c r="L24" s="122">
        <v>0.467</v>
      </c>
      <c r="M24" s="126">
        <f t="shared" si="2"/>
        <v>60.92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24" t="s">
        <v>131</v>
      </c>
      <c r="J25" s="121" t="s">
        <v>130</v>
      </c>
      <c r="K25" s="125">
        <v>0</v>
      </c>
      <c r="L25" s="122">
        <v>0</v>
      </c>
      <c r="M25" s="126">
        <f t="shared" si="2"/>
        <v>0</v>
      </c>
      <c r="N25" s="75" t="str">
        <f t="shared" si="3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24" t="s">
        <v>64</v>
      </c>
      <c r="J26" s="121" t="s">
        <v>128</v>
      </c>
      <c r="K26" s="125">
        <v>71.74</v>
      </c>
      <c r="L26" s="122">
        <v>0.467</v>
      </c>
      <c r="M26" s="126">
        <f t="shared" si="2"/>
        <v>33.5</v>
      </c>
      <c r="N26" s="75" t="str">
        <f t="shared" si="3"/>
        <v>----</v>
      </c>
    </row>
    <row r="27" spans="1:14" ht="15" customHeight="1" thickBo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24" t="s">
        <v>64</v>
      </c>
      <c r="J27" s="121" t="s">
        <v>129</v>
      </c>
      <c r="K27" s="125">
        <v>143.49</v>
      </c>
      <c r="L27" s="122">
        <v>0.467</v>
      </c>
      <c r="M27" s="126">
        <f t="shared" si="2"/>
        <v>67.01</v>
      </c>
      <c r="N27" s="75" t="str">
        <f t="shared" si="3"/>
        <v>----</v>
      </c>
    </row>
    <row r="28" spans="1:16" ht="20.25" customHeight="1" thickBot="1">
      <c r="A28" s="1"/>
      <c r="B28" s="78">
        <f>SUM(B22:B27)</f>
        <v>0</v>
      </c>
      <c r="C28" s="79"/>
      <c r="D28" s="79"/>
      <c r="E28" s="79"/>
      <c r="F28" s="79"/>
      <c r="G28" s="79"/>
      <c r="H28" s="1"/>
      <c r="I28" s="80"/>
      <c r="J28" s="52"/>
      <c r="K28" s="81"/>
      <c r="L28" s="82"/>
      <c r="M28" s="54" t="s">
        <v>29</v>
      </c>
      <c r="N28" s="83" t="str">
        <f>IF(SUM(N22:N27)=0,"----",SUM((N22:N27)))</f>
        <v>----</v>
      </c>
      <c r="P28" s="84"/>
    </row>
    <row r="29" spans="1:14" ht="15" customHeight="1" thickBot="1">
      <c r="A29" s="1"/>
      <c r="B29" s="79"/>
      <c r="C29" s="79"/>
      <c r="D29" s="79"/>
      <c r="E29" s="79"/>
      <c r="F29" s="79"/>
      <c r="H29" s="1"/>
      <c r="I29" s="85"/>
      <c r="J29" s="21"/>
      <c r="K29" s="86"/>
      <c r="L29" s="87"/>
      <c r="M29" s="23"/>
      <c r="N29" s="23"/>
    </row>
    <row r="30" spans="1:17" ht="25.5" customHeight="1">
      <c r="A30" s="1"/>
      <c r="B30" s="71"/>
      <c r="C30" s="2"/>
      <c r="D30" s="2"/>
      <c r="E30" s="2"/>
      <c r="F30" s="71"/>
      <c r="H30" s="1"/>
      <c r="I30" s="24" t="s">
        <v>30</v>
      </c>
      <c r="J30" s="25"/>
      <c r="K30" s="88"/>
      <c r="L30" s="89"/>
      <c r="M30" s="90" t="s">
        <v>31</v>
      </c>
      <c r="N30" s="26"/>
      <c r="P30" s="91"/>
      <c r="Q30" s="3"/>
    </row>
    <row r="31" spans="1:17" ht="28.5" customHeight="1">
      <c r="A31" s="1"/>
      <c r="B31" s="92" t="s">
        <v>32</v>
      </c>
      <c r="C31" s="93"/>
      <c r="D31" s="93"/>
      <c r="E31" s="94"/>
      <c r="F31" s="71"/>
      <c r="G31" s="95" t="s">
        <v>33</v>
      </c>
      <c r="H31" s="1"/>
      <c r="I31" s="175" t="s">
        <v>34</v>
      </c>
      <c r="J31" s="186"/>
      <c r="K31" s="186"/>
      <c r="L31" s="186"/>
      <c r="M31" s="184" t="s">
        <v>35</v>
      </c>
      <c r="N31" s="185"/>
      <c r="P31" s="3"/>
      <c r="Q31" s="3"/>
    </row>
    <row r="32" spans="1:17" ht="45" customHeight="1">
      <c r="A32" s="1"/>
      <c r="B32" s="67" t="s">
        <v>18</v>
      </c>
      <c r="C32" s="67" t="s">
        <v>36</v>
      </c>
      <c r="D32" s="67" t="s">
        <v>37</v>
      </c>
      <c r="E32" s="67" t="s">
        <v>38</v>
      </c>
      <c r="G32" s="67" t="s">
        <v>39</v>
      </c>
      <c r="H32" s="1"/>
      <c r="I32" s="96" t="s">
        <v>27</v>
      </c>
      <c r="J32" s="97" t="s">
        <v>56</v>
      </c>
      <c r="K32" s="3"/>
      <c r="L32" s="3"/>
      <c r="M32" s="36" t="s">
        <v>40</v>
      </c>
      <c r="N32" s="37" t="s">
        <v>56</v>
      </c>
      <c r="Q32" s="3"/>
    </row>
    <row r="33" spans="1:17" ht="15" customHeight="1" thickBot="1">
      <c r="A33" s="1"/>
      <c r="B33" s="98">
        <f>SUM(C22:C27)</f>
        <v>0</v>
      </c>
      <c r="C33" s="98">
        <f>COUNTIF(D22:F27,"&gt;=16")</f>
        <v>0</v>
      </c>
      <c r="D33" s="98">
        <f>(COUNTIF(D22:F27,"&gt;0")-C33)/2</f>
        <v>0</v>
      </c>
      <c r="E33" s="98">
        <f>SUM(B33:D33)</f>
        <v>0</v>
      </c>
      <c r="G33" s="99">
        <v>0</v>
      </c>
      <c r="H33" s="1"/>
      <c r="I33" s="100">
        <v>24</v>
      </c>
      <c r="J33" s="101" t="str">
        <f>IF(E33*I33=0,"----",E33*I33)</f>
        <v>----</v>
      </c>
      <c r="K33" s="3"/>
      <c r="L33" s="3"/>
      <c r="M33" s="102">
        <v>12</v>
      </c>
      <c r="N33" s="76" t="str">
        <f>IF($G33=0,"----",M33*$G33)</f>
        <v>----</v>
      </c>
      <c r="Q33" s="3"/>
    </row>
    <row r="34" spans="1:17" ht="15" customHeight="1" thickBot="1">
      <c r="A34" s="1"/>
      <c r="B34" s="12"/>
      <c r="C34" s="12"/>
      <c r="D34" s="12"/>
      <c r="E34" s="103"/>
      <c r="F34" s="12"/>
      <c r="G34" s="12"/>
      <c r="H34" s="1"/>
      <c r="I34" s="104"/>
      <c r="J34" s="105"/>
      <c r="K34" s="105"/>
      <c r="L34" s="106"/>
      <c r="M34" s="54" t="s">
        <v>41</v>
      </c>
      <c r="N34" s="83" t="str">
        <f>IF(SUM(J33,N33)=0,"----",SUM((J33,N33)))</f>
        <v>----</v>
      </c>
      <c r="Q34" s="3"/>
    </row>
    <row r="35" spans="1:15" s="12" customFormat="1" ht="15" customHeight="1">
      <c r="A35" s="5"/>
      <c r="E35" s="2"/>
      <c r="F35" s="2"/>
      <c r="H35" s="5"/>
      <c r="I35" s="2"/>
      <c r="J35" s="2"/>
      <c r="K35" s="2"/>
      <c r="L35" s="2"/>
      <c r="M35" s="2"/>
      <c r="N35" s="2"/>
      <c r="O35" s="11"/>
    </row>
    <row r="36" spans="1:15" s="12" customFormat="1" ht="20.25" customHeight="1">
      <c r="A36" s="5"/>
      <c r="H36" s="5"/>
      <c r="I36" s="2"/>
      <c r="J36" s="2"/>
      <c r="K36" s="2"/>
      <c r="L36" s="2"/>
      <c r="M36" s="23" t="s">
        <v>42</v>
      </c>
      <c r="N36" s="107">
        <f>SUM(N16,N28,N34)</f>
        <v>0</v>
      </c>
      <c r="O36" s="11"/>
    </row>
    <row r="37" spans="1:14" ht="15.75" thickBot="1">
      <c r="A37" s="1"/>
      <c r="B37" s="2"/>
      <c r="C37" s="2"/>
      <c r="D37" s="2"/>
      <c r="E37" s="2"/>
      <c r="F37" s="2"/>
      <c r="H37" s="1"/>
      <c r="M37" s="23" t="s">
        <v>43</v>
      </c>
      <c r="N37" s="107">
        <f>IF(G39=0,"",G39)</f>
      </c>
    </row>
    <row r="38" spans="1:14" ht="19.5" customHeight="1" thickBot="1">
      <c r="A38" s="1"/>
      <c r="B38" s="108" t="s">
        <v>44</v>
      </c>
      <c r="C38" s="109"/>
      <c r="D38" s="109"/>
      <c r="E38" s="109"/>
      <c r="F38" s="109"/>
      <c r="G38" s="110"/>
      <c r="H38" s="1"/>
      <c r="M38" s="111" t="s">
        <v>54</v>
      </c>
      <c r="N38" s="112">
        <f>IF(G39=0,"",SUM(N36:N37))</f>
      </c>
    </row>
    <row r="39" spans="1:14" ht="19.5" customHeight="1">
      <c r="A39" s="1"/>
      <c r="B39" s="183" t="s">
        <v>45</v>
      </c>
      <c r="C39" s="183"/>
      <c r="D39" s="183"/>
      <c r="E39" s="183"/>
      <c r="F39" s="183"/>
      <c r="G39" s="113">
        <v>0</v>
      </c>
      <c r="H39" s="1"/>
      <c r="M39" s="111"/>
      <c r="N39" s="114" t="s">
        <v>55</v>
      </c>
    </row>
    <row r="40" spans="1:14" ht="19.5" customHeight="1">
      <c r="A40" s="1"/>
      <c r="B40" s="1"/>
      <c r="C40" s="1"/>
      <c r="D40" s="1"/>
      <c r="E40" s="1"/>
      <c r="F40" s="1"/>
      <c r="G40" s="1"/>
      <c r="H40" s="1"/>
      <c r="I40" s="115" t="s">
        <v>46</v>
      </c>
      <c r="J40" s="29"/>
      <c r="K40" s="29"/>
      <c r="L40" s="29"/>
      <c r="M40" s="29"/>
      <c r="N40" s="29"/>
    </row>
    <row r="41" spans="1:17" ht="12.75">
      <c r="A41" s="2"/>
      <c r="B41" s="2"/>
      <c r="C41" s="2"/>
      <c r="D41" s="2"/>
      <c r="E41" s="2"/>
      <c r="F41" s="2"/>
      <c r="H41" s="2"/>
      <c r="P41" s="116"/>
      <c r="Q41" s="116"/>
    </row>
    <row r="42" ht="28.5" customHeight="1">
      <c r="H42" s="2"/>
    </row>
    <row r="43" ht="12.75">
      <c r="H43" s="2"/>
    </row>
    <row r="62" spans="2:7" ht="12.75">
      <c r="B62" s="11"/>
      <c r="C62" s="11"/>
      <c r="G62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9:F39"/>
    <mergeCell ref="I11:N11"/>
    <mergeCell ref="I19:N19"/>
    <mergeCell ref="I20:N20"/>
    <mergeCell ref="I31:L31"/>
    <mergeCell ref="M31:N31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Q6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Malawi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201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39867</v>
      </c>
      <c r="J13" s="119">
        <v>39925</v>
      </c>
      <c r="K13" s="44">
        <f>+J13-I13+1</f>
        <v>59</v>
      </c>
      <c r="L13" s="129">
        <v>4.22</v>
      </c>
      <c r="M13" s="130">
        <f>ROUND(K13*L13,2)</f>
        <v>248.98</v>
      </c>
      <c r="N13" s="46" t="str">
        <f>IF($G13=0,"----",M13)</f>
        <v>----</v>
      </c>
      <c r="P13" s="3"/>
      <c r="Q13" s="3"/>
    </row>
    <row r="14" spans="1:17" ht="15" customHeigh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39964</v>
      </c>
      <c r="J14" s="119">
        <v>40023</v>
      </c>
      <c r="K14" s="44">
        <f>+J14-I14+1</f>
        <v>60</v>
      </c>
      <c r="L14" s="129">
        <v>4.22</v>
      </c>
      <c r="M14" s="130">
        <f>ROUND(K14*L14,2)</f>
        <v>253.2</v>
      </c>
      <c r="N14" s="46" t="str">
        <f>IF($G14=0,"----",M14)</f>
        <v>----</v>
      </c>
      <c r="P14" s="3"/>
      <c r="Q14" s="3"/>
    </row>
    <row r="15" spans="1:17" ht="15" customHeight="1" thickBot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118">
        <v>40083</v>
      </c>
      <c r="J15" s="119">
        <v>40156</v>
      </c>
      <c r="K15" s="44">
        <f>+J15-I15+1</f>
        <v>74</v>
      </c>
      <c r="L15" s="129">
        <v>4.22</v>
      </c>
      <c r="M15" s="130">
        <f>ROUND(K15*L15,2)</f>
        <v>312.28</v>
      </c>
      <c r="N15" s="46" t="str">
        <f>IF($G15=0,"----",M15)</f>
        <v>----</v>
      </c>
      <c r="P15" s="3"/>
      <c r="Q15" s="3"/>
    </row>
    <row r="16" spans="1:17" ht="20.25" customHeight="1" thickBot="1">
      <c r="A16" s="1"/>
      <c r="B16" s="2"/>
      <c r="C16" s="2"/>
      <c r="D16" s="2"/>
      <c r="E16" s="2"/>
      <c r="F16" s="2"/>
      <c r="H16" s="1"/>
      <c r="I16" s="50"/>
      <c r="J16" s="51"/>
      <c r="K16" s="52"/>
      <c r="L16" s="53"/>
      <c r="M16" s="54" t="s">
        <v>13</v>
      </c>
      <c r="N16" s="55" t="str">
        <f>IF(SUM(N13:N15)=0,"----",SUM((N13:N15)))</f>
        <v>----</v>
      </c>
      <c r="P16" s="3"/>
      <c r="Q16" s="3"/>
    </row>
    <row r="17" spans="1:17" ht="15" customHeight="1" thickBot="1">
      <c r="A17" s="1"/>
      <c r="B17" s="2"/>
      <c r="C17" s="2"/>
      <c r="D17" s="2"/>
      <c r="E17" s="2"/>
      <c r="F17" s="2"/>
      <c r="H17" s="1"/>
      <c r="I17" s="20"/>
      <c r="J17" s="20"/>
      <c r="K17" s="21"/>
      <c r="L17" s="22"/>
      <c r="M17" s="23"/>
      <c r="N17" s="23"/>
      <c r="P17" s="3"/>
      <c r="Q17" s="3"/>
    </row>
    <row r="18" spans="1:17" s="12" customFormat="1" ht="25.5" customHeight="1">
      <c r="A18" s="5"/>
      <c r="B18" s="56"/>
      <c r="C18" s="56"/>
      <c r="D18" s="56"/>
      <c r="E18" s="56"/>
      <c r="F18" s="56"/>
      <c r="H18" s="5"/>
      <c r="I18" s="24" t="s">
        <v>14</v>
      </c>
      <c r="J18" s="25"/>
      <c r="K18" s="25"/>
      <c r="L18" s="25"/>
      <c r="M18" s="25"/>
      <c r="N18" s="57"/>
      <c r="O18" s="11"/>
      <c r="P18" s="2"/>
      <c r="Q18" s="2"/>
    </row>
    <row r="19" spans="1:17" ht="27" customHeight="1">
      <c r="A19" s="1"/>
      <c r="B19" s="58" t="s">
        <v>15</v>
      </c>
      <c r="C19" s="59"/>
      <c r="D19" s="60"/>
      <c r="E19" s="60"/>
      <c r="F19" s="60"/>
      <c r="G19" s="61"/>
      <c r="H19" s="1"/>
      <c r="I19" s="175" t="s">
        <v>58</v>
      </c>
      <c r="J19" s="176"/>
      <c r="K19" s="176"/>
      <c r="L19" s="176"/>
      <c r="M19" s="176"/>
      <c r="N19" s="177"/>
      <c r="Q19" s="3"/>
    </row>
    <row r="20" spans="1:17" ht="12.75">
      <c r="A20" s="1"/>
      <c r="B20" s="62" t="s">
        <v>16</v>
      </c>
      <c r="D20" s="63"/>
      <c r="E20" s="63"/>
      <c r="F20" s="63"/>
      <c r="G20" s="64"/>
      <c r="H20" s="1"/>
      <c r="I20" s="178" t="str">
        <f>"For FAFSA filers, your Untaxed Income is ---&gt; $"&amp;ROUND(SUM(B22:B26),2)</f>
        <v>For FAFSA filers, your Untaxed Income is ---&gt; $0</v>
      </c>
      <c r="J20" s="179"/>
      <c r="K20" s="179"/>
      <c r="L20" s="179"/>
      <c r="M20" s="179"/>
      <c r="N20" s="180"/>
      <c r="P20" s="3"/>
      <c r="Q20" s="3"/>
    </row>
    <row r="21" spans="1:16" s="71" customFormat="1" ht="45" customHeight="1">
      <c r="A21" s="65"/>
      <c r="B21" s="66" t="s">
        <v>17</v>
      </c>
      <c r="C21" s="67" t="s">
        <v>18</v>
      </c>
      <c r="D21" s="67" t="s">
        <v>19</v>
      </c>
      <c r="E21" s="67" t="s">
        <v>20</v>
      </c>
      <c r="F21" s="67" t="s">
        <v>21</v>
      </c>
      <c r="G21" s="67" t="s">
        <v>22</v>
      </c>
      <c r="H21" s="65"/>
      <c r="I21" s="68" t="s">
        <v>23</v>
      </c>
      <c r="J21" s="69" t="s">
        <v>24</v>
      </c>
      <c r="K21" s="36" t="s">
        <v>25</v>
      </c>
      <c r="L21" s="36" t="s">
        <v>26</v>
      </c>
      <c r="M21" s="36" t="s">
        <v>27</v>
      </c>
      <c r="N21" s="37" t="s">
        <v>56</v>
      </c>
      <c r="O21" s="70"/>
      <c r="P21" s="2"/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50</v>
      </c>
      <c r="J22" s="121" t="s">
        <v>82</v>
      </c>
      <c r="K22" s="125">
        <v>162</v>
      </c>
      <c r="L22" s="122">
        <v>0.28</v>
      </c>
      <c r="M22" s="126">
        <f>ROUND(K22*L22,2)</f>
        <v>45.36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62</v>
      </c>
      <c r="J23" s="121" t="s">
        <v>82</v>
      </c>
      <c r="K23" s="125">
        <v>155</v>
      </c>
      <c r="L23" s="122">
        <v>0.28</v>
      </c>
      <c r="M23" s="126">
        <f>ROUND(K23*L23,2)</f>
        <v>43.4</v>
      </c>
      <c r="N23" s="75" t="str">
        <f>IF($G23=0,"----",M23*$G23)</f>
        <v>----</v>
      </c>
    </row>
    <row r="24" spans="1:14" ht="15" customHeigh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24" t="s">
        <v>50</v>
      </c>
      <c r="J24" s="121" t="s">
        <v>129</v>
      </c>
      <c r="K24" s="125">
        <v>162</v>
      </c>
      <c r="L24" s="122">
        <v>0.28</v>
      </c>
      <c r="M24" s="126">
        <f>ROUND(K24*L24,2)</f>
        <v>45.36</v>
      </c>
      <c r="N24" s="75" t="str">
        <f>IF($G24=0,"----",M24*$G24)</f>
        <v>----</v>
      </c>
    </row>
    <row r="25" spans="1:14" ht="15" customHeight="1">
      <c r="A25" s="1"/>
      <c r="B25" s="72" t="str">
        <f>IF($G25=0,"----",(K25-M25)*$G25)</f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>C25+D25/29+E25/30+F25/31</f>
        <v>0</v>
      </c>
      <c r="H25" s="1"/>
      <c r="I25" s="124" t="s">
        <v>62</v>
      </c>
      <c r="J25" s="121" t="s">
        <v>129</v>
      </c>
      <c r="K25" s="125">
        <v>155</v>
      </c>
      <c r="L25" s="122">
        <v>0.28</v>
      </c>
      <c r="M25" s="126">
        <f>ROUND(K25*L25,2)</f>
        <v>43.4</v>
      </c>
      <c r="N25" s="75" t="str">
        <f>IF($G25=0,"----",M25*$G25)</f>
        <v>----</v>
      </c>
    </row>
    <row r="26" spans="1:14" ht="15" customHeight="1" thickBot="1">
      <c r="A26" s="1"/>
      <c r="B26" s="72" t="str">
        <f>IF($G26=0,"----",(K26-M26)*$G26)</f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>C26+D26/29+E26/30+F26/31</f>
        <v>0</v>
      </c>
      <c r="H26" s="1"/>
      <c r="I26" s="124" t="s">
        <v>234</v>
      </c>
      <c r="J26" s="121" t="s">
        <v>28</v>
      </c>
      <c r="K26" s="125">
        <v>218.3</v>
      </c>
      <c r="L26" s="122">
        <v>0.28</v>
      </c>
      <c r="M26" s="126">
        <f>ROUND(K26*L26,2)</f>
        <v>61.12</v>
      </c>
      <c r="N26" s="75" t="str">
        <f>IF($G26=0,"----",M26*$G26)</f>
        <v>----</v>
      </c>
    </row>
    <row r="27" spans="1:16" ht="20.25" customHeight="1" thickBot="1">
      <c r="A27" s="1"/>
      <c r="B27" s="78">
        <f>SUM(B22:B26)</f>
        <v>0</v>
      </c>
      <c r="C27" s="79"/>
      <c r="D27" s="79"/>
      <c r="E27" s="79"/>
      <c r="F27" s="79"/>
      <c r="G27" s="79"/>
      <c r="H27" s="1"/>
      <c r="I27" s="80"/>
      <c r="J27" s="52"/>
      <c r="K27" s="81"/>
      <c r="L27" s="82"/>
      <c r="M27" s="54" t="s">
        <v>29</v>
      </c>
      <c r="N27" s="83" t="str">
        <f>IF(SUM(N22:N26)=0,"----",SUM((N22:N26)))</f>
        <v>----</v>
      </c>
      <c r="P27" s="84"/>
    </row>
    <row r="28" spans="1:14" ht="15" customHeight="1" thickBot="1">
      <c r="A28" s="1"/>
      <c r="B28" s="79"/>
      <c r="C28" s="79"/>
      <c r="D28" s="79"/>
      <c r="E28" s="79"/>
      <c r="F28" s="79"/>
      <c r="H28" s="1"/>
      <c r="I28" s="85"/>
      <c r="J28" s="21"/>
      <c r="K28" s="86"/>
      <c r="L28" s="87"/>
      <c r="M28" s="23"/>
      <c r="N28" s="23"/>
    </row>
    <row r="29" spans="1:17" ht="25.5" customHeight="1">
      <c r="A29" s="1"/>
      <c r="B29" s="71"/>
      <c r="C29" s="2"/>
      <c r="D29" s="2"/>
      <c r="E29" s="2"/>
      <c r="F29" s="71"/>
      <c r="H29" s="1"/>
      <c r="I29" s="24" t="s">
        <v>30</v>
      </c>
      <c r="J29" s="25"/>
      <c r="K29" s="88"/>
      <c r="L29" s="89"/>
      <c r="M29" s="90" t="s">
        <v>31</v>
      </c>
      <c r="N29" s="26"/>
      <c r="P29" s="91"/>
      <c r="Q29" s="3"/>
    </row>
    <row r="30" spans="1:17" ht="28.5" customHeight="1">
      <c r="A30" s="1"/>
      <c r="B30" s="92" t="s">
        <v>32</v>
      </c>
      <c r="C30" s="93"/>
      <c r="D30" s="93"/>
      <c r="E30" s="94"/>
      <c r="F30" s="71"/>
      <c r="G30" s="95" t="s">
        <v>33</v>
      </c>
      <c r="H30" s="1"/>
      <c r="I30" s="175" t="s">
        <v>34</v>
      </c>
      <c r="J30" s="186"/>
      <c r="K30" s="186"/>
      <c r="L30" s="186"/>
      <c r="M30" s="184" t="s">
        <v>35</v>
      </c>
      <c r="N30" s="185"/>
      <c r="P30" s="3"/>
      <c r="Q30" s="3"/>
    </row>
    <row r="31" spans="1:17" ht="45" customHeight="1">
      <c r="A31" s="1"/>
      <c r="B31" s="67" t="s">
        <v>18</v>
      </c>
      <c r="C31" s="67" t="s">
        <v>36</v>
      </c>
      <c r="D31" s="67" t="s">
        <v>37</v>
      </c>
      <c r="E31" s="67" t="s">
        <v>38</v>
      </c>
      <c r="G31" s="67" t="s">
        <v>39</v>
      </c>
      <c r="H31" s="1"/>
      <c r="I31" s="96" t="s">
        <v>27</v>
      </c>
      <c r="J31" s="97" t="s">
        <v>56</v>
      </c>
      <c r="K31" s="3"/>
      <c r="L31" s="3"/>
      <c r="M31" s="36" t="s">
        <v>40</v>
      </c>
      <c r="N31" s="37" t="s">
        <v>56</v>
      </c>
      <c r="Q31" s="3"/>
    </row>
    <row r="32" spans="1:17" ht="15" customHeight="1" thickBot="1">
      <c r="A32" s="1"/>
      <c r="B32" s="98">
        <f>SUM(C22:C26)</f>
        <v>0</v>
      </c>
      <c r="C32" s="98">
        <f>COUNTIF(D22:F26,"&gt;=16")</f>
        <v>0</v>
      </c>
      <c r="D32" s="98">
        <f>(COUNTIF(D22:F26,"&gt;0")-C32)/2</f>
        <v>0</v>
      </c>
      <c r="E32" s="98">
        <f>SUM(B32:D32)</f>
        <v>0</v>
      </c>
      <c r="G32" s="99">
        <v>0</v>
      </c>
      <c r="H32" s="1"/>
      <c r="I32" s="100">
        <v>24</v>
      </c>
      <c r="J32" s="101" t="str">
        <f>IF(E32*I32=0,"----",E32*I32)</f>
        <v>----</v>
      </c>
      <c r="K32" s="3"/>
      <c r="L32" s="3"/>
      <c r="M32" s="102">
        <v>12</v>
      </c>
      <c r="N32" s="76" t="str">
        <f>IF($G32=0,"----",M32*$G32)</f>
        <v>----</v>
      </c>
      <c r="Q32" s="3"/>
    </row>
    <row r="33" spans="1:17" ht="15" customHeight="1" thickBot="1">
      <c r="A33" s="1"/>
      <c r="B33" s="12"/>
      <c r="C33" s="12"/>
      <c r="D33" s="12"/>
      <c r="E33" s="103"/>
      <c r="F33" s="12"/>
      <c r="G33" s="12"/>
      <c r="H33" s="1"/>
      <c r="I33" s="104"/>
      <c r="J33" s="105"/>
      <c r="K33" s="105"/>
      <c r="L33" s="106"/>
      <c r="M33" s="54" t="s">
        <v>41</v>
      </c>
      <c r="N33" s="83" t="str">
        <f>IF(SUM(J32,N32)=0,"----",SUM((J32,N32)))</f>
        <v>----</v>
      </c>
      <c r="Q33" s="3"/>
    </row>
    <row r="34" spans="1:15" s="12" customFormat="1" ht="15" customHeight="1">
      <c r="A34" s="5"/>
      <c r="E34" s="2"/>
      <c r="F34" s="2"/>
      <c r="H34" s="5"/>
      <c r="I34" s="2"/>
      <c r="J34" s="2"/>
      <c r="K34" s="2"/>
      <c r="L34" s="2"/>
      <c r="M34" s="2"/>
      <c r="N34" s="2"/>
      <c r="O34" s="11"/>
    </row>
    <row r="35" spans="1:15" s="12" customFormat="1" ht="20.25" customHeight="1">
      <c r="A35" s="5"/>
      <c r="H35" s="5"/>
      <c r="I35" s="2"/>
      <c r="J35" s="2"/>
      <c r="K35" s="2"/>
      <c r="L35" s="2"/>
      <c r="M35" s="23" t="s">
        <v>42</v>
      </c>
      <c r="N35" s="107">
        <f>SUM(N16,N27,N33)</f>
        <v>0</v>
      </c>
      <c r="O35" s="11"/>
    </row>
    <row r="36" spans="1:14" ht="15.75" thickBot="1">
      <c r="A36" s="1"/>
      <c r="B36" s="2"/>
      <c r="C36" s="2"/>
      <c r="D36" s="2"/>
      <c r="E36" s="2"/>
      <c r="F36" s="2"/>
      <c r="H36" s="1"/>
      <c r="M36" s="23" t="s">
        <v>43</v>
      </c>
      <c r="N36" s="107">
        <f>IF(G38=0,"",G38)</f>
      </c>
    </row>
    <row r="37" spans="1:14" ht="19.5" customHeight="1" thickBot="1">
      <c r="A37" s="1"/>
      <c r="B37" s="108" t="s">
        <v>44</v>
      </c>
      <c r="C37" s="109"/>
      <c r="D37" s="109"/>
      <c r="E37" s="109"/>
      <c r="F37" s="109"/>
      <c r="G37" s="110"/>
      <c r="H37" s="1"/>
      <c r="M37" s="111" t="s">
        <v>54</v>
      </c>
      <c r="N37" s="112">
        <f>IF(G38=0,"",SUM(N35:N36))</f>
      </c>
    </row>
    <row r="38" spans="1:14" ht="19.5" customHeight="1">
      <c r="A38" s="1"/>
      <c r="B38" s="183" t="s">
        <v>45</v>
      </c>
      <c r="C38" s="183"/>
      <c r="D38" s="183"/>
      <c r="E38" s="183"/>
      <c r="F38" s="183"/>
      <c r="G38" s="113">
        <v>0</v>
      </c>
      <c r="H38" s="1"/>
      <c r="M38" s="111"/>
      <c r="N38" s="114" t="s">
        <v>55</v>
      </c>
    </row>
    <row r="39" spans="1:14" ht="19.5" customHeight="1">
      <c r="A39" s="1"/>
      <c r="B39" s="1"/>
      <c r="C39" s="1"/>
      <c r="D39" s="1"/>
      <c r="E39" s="1"/>
      <c r="F39" s="1"/>
      <c r="G39" s="1"/>
      <c r="H39" s="1"/>
      <c r="I39" s="115" t="s">
        <v>46</v>
      </c>
      <c r="J39" s="29"/>
      <c r="K39" s="29"/>
      <c r="L39" s="29"/>
      <c r="M39" s="29"/>
      <c r="N39" s="29"/>
    </row>
    <row r="40" spans="1:17" ht="12.75">
      <c r="A40" s="2"/>
      <c r="B40" s="2"/>
      <c r="C40" s="2"/>
      <c r="D40" s="2"/>
      <c r="E40" s="2"/>
      <c r="F40" s="2"/>
      <c r="H40" s="2"/>
      <c r="P40" s="116"/>
      <c r="Q40" s="116"/>
    </row>
    <row r="41" ht="28.5" customHeight="1">
      <c r="H41" s="2"/>
    </row>
    <row r="42" ht="12.75">
      <c r="H42" s="2"/>
    </row>
    <row r="61" spans="2:7" ht="12.75">
      <c r="B61" s="11"/>
      <c r="C61" s="11"/>
      <c r="G61" s="12"/>
    </row>
  </sheetData>
  <sheetProtection/>
  <mergeCells count="14">
    <mergeCell ref="B38:F38"/>
    <mergeCell ref="I11:N11"/>
    <mergeCell ref="I19:N19"/>
    <mergeCell ref="I20:N20"/>
    <mergeCell ref="I30:L30"/>
    <mergeCell ref="M30:N30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Q6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Mali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118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44">
        <v>40005</v>
      </c>
      <c r="J13" s="145">
        <v>40066</v>
      </c>
      <c r="K13" s="44">
        <f>+J13-I13+1</f>
        <v>62</v>
      </c>
      <c r="L13" s="140">
        <f>3000/440</f>
        <v>6.818181818181818</v>
      </c>
      <c r="M13" s="130">
        <f>ROUND(K13*L13,2)</f>
        <v>422.73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$"&amp;ROUND(SUM(B20:B25),2)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 aca="true" t="shared" si="0" ref="B20:B25"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 aca="true" t="shared" si="1" ref="G20:G25">C20+D20/29+E20/30+F20/31</f>
        <v>0</v>
      </c>
      <c r="H20" s="1"/>
      <c r="I20" s="133" t="s">
        <v>123</v>
      </c>
      <c r="J20" s="134" t="s">
        <v>82</v>
      </c>
      <c r="K20" s="135">
        <f>142000/440</f>
        <v>322.72727272727275</v>
      </c>
      <c r="L20" s="136">
        <v>0.52</v>
      </c>
      <c r="M20" s="126">
        <f aca="true" t="shared" si="2" ref="M20:M25">ROUND(K20*L20,2)</f>
        <v>167.82</v>
      </c>
      <c r="N20" s="75" t="str">
        <f aca="true" t="shared" si="3" ref="N20:N25">IF($G20=0,"----",M20*$G20)</f>
        <v>----</v>
      </c>
    </row>
    <row r="21" spans="1:14" ht="15" customHeight="1">
      <c r="A21" s="1"/>
      <c r="B21" s="72" t="str">
        <f t="shared" si="0"/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t="shared" si="1"/>
        <v>0</v>
      </c>
      <c r="H21" s="1"/>
      <c r="I21" s="137" t="s">
        <v>124</v>
      </c>
      <c r="J21" s="134" t="s">
        <v>82</v>
      </c>
      <c r="K21" s="135">
        <f>132000/440</f>
        <v>300</v>
      </c>
      <c r="L21" s="138">
        <v>0.48</v>
      </c>
      <c r="M21" s="126">
        <f t="shared" si="2"/>
        <v>144</v>
      </c>
      <c r="N21" s="75" t="str">
        <f t="shared" si="3"/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37" t="s">
        <v>62</v>
      </c>
      <c r="J22" s="134" t="s">
        <v>82</v>
      </c>
      <c r="K22" s="135">
        <f>105000/440</f>
        <v>238.63636363636363</v>
      </c>
      <c r="L22" s="138">
        <v>0.5</v>
      </c>
      <c r="M22" s="126">
        <f t="shared" si="2"/>
        <v>119.32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37" t="s">
        <v>123</v>
      </c>
      <c r="J23" s="134" t="s">
        <v>97</v>
      </c>
      <c r="K23" s="135">
        <f>142000/440</f>
        <v>322.72727272727275</v>
      </c>
      <c r="L23" s="138">
        <v>0.52</v>
      </c>
      <c r="M23" s="126">
        <f t="shared" si="2"/>
        <v>167.82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37" t="s">
        <v>124</v>
      </c>
      <c r="J24" s="134" t="s">
        <v>97</v>
      </c>
      <c r="K24" s="135">
        <f>132000/440</f>
        <v>300</v>
      </c>
      <c r="L24" s="138">
        <v>0.48</v>
      </c>
      <c r="M24" s="126">
        <f t="shared" si="2"/>
        <v>144</v>
      </c>
      <c r="N24" s="75" t="str">
        <f t="shared" si="3"/>
        <v>----</v>
      </c>
    </row>
    <row r="25" spans="1:14" ht="15" customHeight="1" thickBo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37" t="s">
        <v>62</v>
      </c>
      <c r="J25" s="134" t="s">
        <v>97</v>
      </c>
      <c r="K25" s="135">
        <f>105000/440</f>
        <v>238.63636363636363</v>
      </c>
      <c r="L25" s="138">
        <v>0.5</v>
      </c>
      <c r="M25" s="126">
        <f t="shared" si="2"/>
        <v>119.32</v>
      </c>
      <c r="N25" s="75" t="str">
        <f t="shared" si="3"/>
        <v>----</v>
      </c>
    </row>
    <row r="26" spans="1:16" ht="20.25" customHeight="1" thickBot="1">
      <c r="A26" s="1"/>
      <c r="B26" s="78">
        <f>SUM(B20:B25)</f>
        <v>0</v>
      </c>
      <c r="C26" s="79"/>
      <c r="D26" s="79"/>
      <c r="E26" s="79"/>
      <c r="F26" s="79"/>
      <c r="G26" s="79"/>
      <c r="H26" s="1"/>
      <c r="I26" s="80"/>
      <c r="J26" s="52"/>
      <c r="K26" s="81"/>
      <c r="L26" s="82"/>
      <c r="M26" s="54" t="s">
        <v>29</v>
      </c>
      <c r="N26" s="83" t="str">
        <f>IF(SUM(N20:N25)=0,"----",SUM((N20:N25)))</f>
        <v>----</v>
      </c>
      <c r="P26" s="84"/>
    </row>
    <row r="27" spans="1:14" ht="15" customHeight="1" thickBot="1">
      <c r="A27" s="1"/>
      <c r="B27" s="79"/>
      <c r="C27" s="79"/>
      <c r="D27" s="79"/>
      <c r="E27" s="79"/>
      <c r="F27" s="79"/>
      <c r="H27" s="1"/>
      <c r="I27" s="85"/>
      <c r="J27" s="21"/>
      <c r="K27" s="86"/>
      <c r="L27" s="87"/>
      <c r="M27" s="23"/>
      <c r="N27" s="23"/>
    </row>
    <row r="28" spans="1:17" ht="25.5" customHeight="1">
      <c r="A28" s="1"/>
      <c r="B28" s="71"/>
      <c r="C28" s="2"/>
      <c r="D28" s="2"/>
      <c r="E28" s="2"/>
      <c r="F28" s="71"/>
      <c r="H28" s="1"/>
      <c r="I28" s="24" t="s">
        <v>30</v>
      </c>
      <c r="J28" s="25"/>
      <c r="K28" s="88"/>
      <c r="L28" s="89"/>
      <c r="M28" s="90" t="s">
        <v>31</v>
      </c>
      <c r="N28" s="26"/>
      <c r="P28" s="91"/>
      <c r="Q28" s="3"/>
    </row>
    <row r="29" spans="1:17" ht="28.5" customHeight="1">
      <c r="A29" s="1"/>
      <c r="B29" s="92" t="s">
        <v>32</v>
      </c>
      <c r="C29" s="93"/>
      <c r="D29" s="93"/>
      <c r="E29" s="94"/>
      <c r="F29" s="71"/>
      <c r="G29" s="95" t="s">
        <v>33</v>
      </c>
      <c r="H29" s="1"/>
      <c r="I29" s="175" t="s">
        <v>34</v>
      </c>
      <c r="J29" s="186"/>
      <c r="K29" s="186"/>
      <c r="L29" s="186"/>
      <c r="M29" s="184" t="s">
        <v>35</v>
      </c>
      <c r="N29" s="185"/>
      <c r="P29" s="3"/>
      <c r="Q29" s="3"/>
    </row>
    <row r="30" spans="1:17" ht="45" customHeight="1">
      <c r="A30" s="1"/>
      <c r="B30" s="67" t="s">
        <v>18</v>
      </c>
      <c r="C30" s="67" t="s">
        <v>36</v>
      </c>
      <c r="D30" s="67" t="s">
        <v>37</v>
      </c>
      <c r="E30" s="67" t="s">
        <v>38</v>
      </c>
      <c r="G30" s="67" t="s">
        <v>39</v>
      </c>
      <c r="H30" s="1"/>
      <c r="I30" s="96" t="s">
        <v>27</v>
      </c>
      <c r="J30" s="97" t="s">
        <v>56</v>
      </c>
      <c r="K30" s="3"/>
      <c r="L30" s="3"/>
      <c r="M30" s="36" t="s">
        <v>40</v>
      </c>
      <c r="N30" s="37" t="s">
        <v>56</v>
      </c>
      <c r="Q30" s="3"/>
    </row>
    <row r="31" spans="1:17" ht="15" customHeight="1" thickBot="1">
      <c r="A31" s="1"/>
      <c r="B31" s="98">
        <f>SUM(C20:C25)</f>
        <v>0</v>
      </c>
      <c r="C31" s="98">
        <f>COUNTIF(D20:F25,"&gt;=16")</f>
        <v>0</v>
      </c>
      <c r="D31" s="98">
        <f>(COUNTIF(D20:F25,"&gt;0")-C31)/2</f>
        <v>0</v>
      </c>
      <c r="E31" s="98">
        <f>SUM(B31:D31)</f>
        <v>0</v>
      </c>
      <c r="G31" s="99">
        <v>0</v>
      </c>
      <c r="H31" s="1"/>
      <c r="I31" s="100">
        <v>24</v>
      </c>
      <c r="J31" s="101" t="str">
        <f>IF(E31*I31=0,"----",E31*I31)</f>
        <v>----</v>
      </c>
      <c r="K31" s="3"/>
      <c r="L31" s="3"/>
      <c r="M31" s="102">
        <v>12</v>
      </c>
      <c r="N31" s="76" t="str">
        <f>IF($G31=0,"----",M31*$G31)</f>
        <v>----</v>
      </c>
      <c r="Q31" s="3"/>
    </row>
    <row r="32" spans="1:17" ht="15" customHeight="1" thickBot="1">
      <c r="A32" s="1"/>
      <c r="B32" s="12"/>
      <c r="C32" s="12"/>
      <c r="D32" s="12"/>
      <c r="E32" s="103"/>
      <c r="F32" s="12"/>
      <c r="G32" s="12"/>
      <c r="H32" s="1"/>
      <c r="I32" s="104"/>
      <c r="J32" s="105"/>
      <c r="K32" s="105"/>
      <c r="L32" s="106"/>
      <c r="M32" s="54" t="s">
        <v>41</v>
      </c>
      <c r="N32" s="83" t="str">
        <f>IF(SUM(J31,N31)=0,"----",SUM((J31,N31)))</f>
        <v>----</v>
      </c>
      <c r="Q32" s="3"/>
    </row>
    <row r="33" spans="1:15" s="12" customFormat="1" ht="15" customHeight="1">
      <c r="A33" s="5"/>
      <c r="E33" s="2"/>
      <c r="F33" s="2"/>
      <c r="H33" s="5"/>
      <c r="I33" s="2"/>
      <c r="J33" s="2"/>
      <c r="K33" s="2"/>
      <c r="L33" s="2"/>
      <c r="M33" s="2"/>
      <c r="N33" s="2"/>
      <c r="O33" s="11"/>
    </row>
    <row r="34" spans="1:15" s="12" customFormat="1" ht="20.25" customHeight="1">
      <c r="A34" s="5"/>
      <c r="H34" s="5"/>
      <c r="I34" s="2"/>
      <c r="J34" s="2"/>
      <c r="K34" s="2"/>
      <c r="L34" s="2"/>
      <c r="M34" s="23" t="s">
        <v>42</v>
      </c>
      <c r="N34" s="107">
        <f>SUM(N14,N26,N32)</f>
        <v>0</v>
      </c>
      <c r="O34" s="11"/>
    </row>
    <row r="35" spans="1:14" ht="15.75" thickBot="1">
      <c r="A35" s="1"/>
      <c r="B35" s="2"/>
      <c r="C35" s="2"/>
      <c r="D35" s="2"/>
      <c r="E35" s="2"/>
      <c r="F35" s="2"/>
      <c r="H35" s="1"/>
      <c r="M35" s="23" t="s">
        <v>43</v>
      </c>
      <c r="N35" s="107">
        <f>IF(G37=0,"",G37)</f>
      </c>
    </row>
    <row r="36" spans="1:14" ht="19.5" customHeight="1" thickBot="1">
      <c r="A36" s="1"/>
      <c r="B36" s="108" t="s">
        <v>44</v>
      </c>
      <c r="C36" s="109"/>
      <c r="D36" s="109"/>
      <c r="E36" s="109"/>
      <c r="F36" s="109"/>
      <c r="G36" s="110"/>
      <c r="H36" s="1"/>
      <c r="M36" s="111" t="s">
        <v>54</v>
      </c>
      <c r="N36" s="112">
        <f>IF(G37=0,"",SUM(N34:N35))</f>
      </c>
    </row>
    <row r="37" spans="1:14" ht="19.5" customHeight="1">
      <c r="A37" s="1"/>
      <c r="B37" s="183" t="s">
        <v>45</v>
      </c>
      <c r="C37" s="183"/>
      <c r="D37" s="183"/>
      <c r="E37" s="183"/>
      <c r="F37" s="183"/>
      <c r="G37" s="113">
        <v>0</v>
      </c>
      <c r="H37" s="1"/>
      <c r="M37" s="111"/>
      <c r="N37" s="114" t="s">
        <v>55</v>
      </c>
    </row>
    <row r="38" spans="1:14" ht="19.5" customHeight="1">
      <c r="A38" s="1"/>
      <c r="B38" s="1"/>
      <c r="C38" s="1"/>
      <c r="D38" s="1"/>
      <c r="E38" s="1"/>
      <c r="F38" s="1"/>
      <c r="G38" s="1"/>
      <c r="H38" s="1"/>
      <c r="I38" s="115" t="s">
        <v>46</v>
      </c>
      <c r="J38" s="29"/>
      <c r="K38" s="29"/>
      <c r="L38" s="29"/>
      <c r="M38" s="29"/>
      <c r="N38" s="29"/>
    </row>
    <row r="39" spans="1:17" ht="12.75">
      <c r="A39" s="2"/>
      <c r="B39" s="2"/>
      <c r="C39" s="2"/>
      <c r="D39" s="2"/>
      <c r="E39" s="2"/>
      <c r="F39" s="2"/>
      <c r="H39" s="2"/>
      <c r="P39" s="116"/>
      <c r="Q39" s="116"/>
    </row>
    <row r="40" ht="28.5" customHeight="1">
      <c r="H40" s="2"/>
    </row>
    <row r="41" ht="12.75">
      <c r="H41" s="2"/>
    </row>
    <row r="60" spans="2:7" ht="12.75">
      <c r="B60" s="11"/>
      <c r="C60" s="11"/>
      <c r="G60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7:F37"/>
    <mergeCell ref="I11:N11"/>
    <mergeCell ref="I17:N17"/>
    <mergeCell ref="I18:N18"/>
    <mergeCell ref="I29:L29"/>
    <mergeCell ref="M29:N29"/>
  </mergeCells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Q6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Mauritania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187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 t="s">
        <v>182</v>
      </c>
      <c r="J13" s="119"/>
      <c r="K13" s="44"/>
      <c r="L13" s="129"/>
      <c r="M13" s="130">
        <f>ROUND(K13*L13,2)</f>
        <v>0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$"&amp;ROUND(SUM(B20:B26),2)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 aca="true" t="shared" si="0" ref="B20:B26"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 aca="true" t="shared" si="1" ref="G20:G26">C20+D20/29+E20/30+F20/31</f>
        <v>0</v>
      </c>
      <c r="H20" s="1"/>
      <c r="I20" s="157" t="s">
        <v>50</v>
      </c>
      <c r="J20" s="151" t="s">
        <v>188</v>
      </c>
      <c r="K20" s="135">
        <v>521</v>
      </c>
      <c r="L20" s="136">
        <v>0.21</v>
      </c>
      <c r="M20" s="126">
        <f aca="true" t="shared" si="2" ref="M20:M26">ROUND(K20*L20,2)</f>
        <v>109.41</v>
      </c>
      <c r="N20" s="75" t="str">
        <f aca="true" t="shared" si="3" ref="N20:N26">IF($G20=0,"----",M20*$G20)</f>
        <v>----</v>
      </c>
    </row>
    <row r="21" spans="1:14" ht="15" customHeight="1">
      <c r="A21" s="1"/>
      <c r="B21" s="72" t="str">
        <f t="shared" si="0"/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t="shared" si="1"/>
        <v>0</v>
      </c>
      <c r="H21" s="1"/>
      <c r="I21" s="151" t="s">
        <v>61</v>
      </c>
      <c r="J21" s="151" t="s">
        <v>189</v>
      </c>
      <c r="K21" s="135">
        <v>209</v>
      </c>
      <c r="L21" s="138">
        <v>0.26</v>
      </c>
      <c r="M21" s="126">
        <f t="shared" si="2"/>
        <v>54.34</v>
      </c>
      <c r="N21" s="75" t="str">
        <f t="shared" si="3"/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51" t="s">
        <v>62</v>
      </c>
      <c r="J22" s="151" t="s">
        <v>188</v>
      </c>
      <c r="K22" s="135">
        <v>193</v>
      </c>
      <c r="L22" s="138">
        <v>0.3</v>
      </c>
      <c r="M22" s="126">
        <f t="shared" si="2"/>
        <v>57.9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51" t="s">
        <v>61</v>
      </c>
      <c r="J23" s="151" t="s">
        <v>190</v>
      </c>
      <c r="K23" s="135">
        <v>255</v>
      </c>
      <c r="L23" s="138">
        <v>0.23</v>
      </c>
      <c r="M23" s="126">
        <f t="shared" si="2"/>
        <v>58.65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51" t="s">
        <v>50</v>
      </c>
      <c r="J24" s="151" t="s">
        <v>191</v>
      </c>
      <c r="K24" s="135">
        <v>243</v>
      </c>
      <c r="L24" s="138">
        <v>0.21</v>
      </c>
      <c r="M24" s="126">
        <f t="shared" si="2"/>
        <v>51.03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51" t="s">
        <v>61</v>
      </c>
      <c r="J25" s="151" t="s">
        <v>191</v>
      </c>
      <c r="K25" s="135">
        <v>119</v>
      </c>
      <c r="L25" s="138">
        <v>0.23</v>
      </c>
      <c r="M25" s="126">
        <f t="shared" si="2"/>
        <v>27.37</v>
      </c>
      <c r="N25" s="75" t="str">
        <f t="shared" si="3"/>
        <v>----</v>
      </c>
    </row>
    <row r="26" spans="1:14" ht="15" customHeight="1" thickBo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51" t="s">
        <v>62</v>
      </c>
      <c r="J26" s="151" t="s">
        <v>191</v>
      </c>
      <c r="K26" s="135">
        <v>90</v>
      </c>
      <c r="L26" s="138">
        <v>0.3</v>
      </c>
      <c r="M26" s="126">
        <f t="shared" si="2"/>
        <v>27</v>
      </c>
      <c r="N26" s="75" t="str">
        <f t="shared" si="3"/>
        <v>----</v>
      </c>
    </row>
    <row r="27" spans="1:16" ht="20.25" customHeight="1" thickBot="1">
      <c r="A27" s="1"/>
      <c r="B27" s="78">
        <f>SUM(B20:B26)</f>
        <v>0</v>
      </c>
      <c r="C27" s="79"/>
      <c r="D27" s="79"/>
      <c r="E27" s="79"/>
      <c r="F27" s="79"/>
      <c r="G27" s="79"/>
      <c r="H27" s="1"/>
      <c r="I27" s="80"/>
      <c r="J27" s="52"/>
      <c r="K27" s="81"/>
      <c r="L27" s="82"/>
      <c r="M27" s="54" t="s">
        <v>29</v>
      </c>
      <c r="N27" s="83" t="str">
        <f>IF(SUM(N20:N26)=0,"----",SUM((N20:N26)))</f>
        <v>----</v>
      </c>
      <c r="P27" s="84"/>
    </row>
    <row r="28" spans="1:14" ht="15" customHeight="1" thickBot="1">
      <c r="A28" s="1"/>
      <c r="B28" s="79"/>
      <c r="C28" s="79"/>
      <c r="D28" s="79"/>
      <c r="E28" s="79"/>
      <c r="F28" s="79"/>
      <c r="H28" s="1"/>
      <c r="I28" s="85"/>
      <c r="J28" s="21"/>
      <c r="K28" s="86"/>
      <c r="L28" s="87"/>
      <c r="M28" s="23"/>
      <c r="N28" s="23"/>
    </row>
    <row r="29" spans="1:17" ht="25.5" customHeight="1">
      <c r="A29" s="1"/>
      <c r="B29" s="71"/>
      <c r="C29" s="2"/>
      <c r="D29" s="2"/>
      <c r="E29" s="2"/>
      <c r="F29" s="71"/>
      <c r="H29" s="1"/>
      <c r="I29" s="24" t="s">
        <v>30</v>
      </c>
      <c r="J29" s="25"/>
      <c r="K29" s="88"/>
      <c r="L29" s="89"/>
      <c r="M29" s="90" t="s">
        <v>31</v>
      </c>
      <c r="N29" s="26"/>
      <c r="P29" s="91"/>
      <c r="Q29" s="3"/>
    </row>
    <row r="30" spans="1:17" ht="28.5" customHeight="1">
      <c r="A30" s="1"/>
      <c r="B30" s="92" t="s">
        <v>32</v>
      </c>
      <c r="C30" s="93"/>
      <c r="D30" s="93"/>
      <c r="E30" s="94"/>
      <c r="F30" s="71"/>
      <c r="G30" s="95" t="s">
        <v>33</v>
      </c>
      <c r="H30" s="1"/>
      <c r="I30" s="175" t="s">
        <v>34</v>
      </c>
      <c r="J30" s="186"/>
      <c r="K30" s="186"/>
      <c r="L30" s="186"/>
      <c r="M30" s="184" t="s">
        <v>35</v>
      </c>
      <c r="N30" s="185"/>
      <c r="P30" s="3"/>
      <c r="Q30" s="3"/>
    </row>
    <row r="31" spans="1:17" ht="45" customHeight="1">
      <c r="A31" s="1"/>
      <c r="B31" s="67" t="s">
        <v>18</v>
      </c>
      <c r="C31" s="67" t="s">
        <v>36</v>
      </c>
      <c r="D31" s="67" t="s">
        <v>37</v>
      </c>
      <c r="E31" s="67" t="s">
        <v>38</v>
      </c>
      <c r="G31" s="67" t="s">
        <v>39</v>
      </c>
      <c r="H31" s="1"/>
      <c r="I31" s="96" t="s">
        <v>27</v>
      </c>
      <c r="J31" s="97" t="s">
        <v>56</v>
      </c>
      <c r="K31" s="3"/>
      <c r="L31" s="3"/>
      <c r="M31" s="36" t="s">
        <v>40</v>
      </c>
      <c r="N31" s="37" t="s">
        <v>56</v>
      </c>
      <c r="Q31" s="3"/>
    </row>
    <row r="32" spans="1:17" ht="15" customHeight="1" thickBot="1">
      <c r="A32" s="1"/>
      <c r="B32" s="98">
        <f>SUM(C20:C26)</f>
        <v>0</v>
      </c>
      <c r="C32" s="98">
        <f>COUNTIF(D20:F26,"&gt;=16")</f>
        <v>0</v>
      </c>
      <c r="D32" s="98">
        <f>(COUNTIF(D20:F26,"&gt;0")-C32)/2</f>
        <v>0</v>
      </c>
      <c r="E32" s="98">
        <f>SUM(B32:D32)</f>
        <v>0</v>
      </c>
      <c r="G32" s="99">
        <v>0</v>
      </c>
      <c r="H32" s="1"/>
      <c r="I32" s="100">
        <v>24</v>
      </c>
      <c r="J32" s="101" t="str">
        <f>IF(E32*I32=0,"----",E32*I32)</f>
        <v>----</v>
      </c>
      <c r="K32" s="3"/>
      <c r="L32" s="3"/>
      <c r="M32" s="102">
        <v>12</v>
      </c>
      <c r="N32" s="76" t="str">
        <f>IF($G32=0,"----",M32*$G32)</f>
        <v>----</v>
      </c>
      <c r="Q32" s="3"/>
    </row>
    <row r="33" spans="1:17" ht="15" customHeight="1" thickBot="1">
      <c r="A33" s="1"/>
      <c r="B33" s="12"/>
      <c r="C33" s="12"/>
      <c r="D33" s="12"/>
      <c r="E33" s="103"/>
      <c r="F33" s="12"/>
      <c r="G33" s="12"/>
      <c r="H33" s="1"/>
      <c r="I33" s="104"/>
      <c r="J33" s="105"/>
      <c r="K33" s="105"/>
      <c r="L33" s="106"/>
      <c r="M33" s="54" t="s">
        <v>41</v>
      </c>
      <c r="N33" s="83" t="str">
        <f>IF(SUM(J32,N32)=0,"----",SUM((J32,N32)))</f>
        <v>----</v>
      </c>
      <c r="Q33" s="3"/>
    </row>
    <row r="34" spans="1:15" s="12" customFormat="1" ht="15" customHeight="1">
      <c r="A34" s="5"/>
      <c r="E34" s="2"/>
      <c r="F34" s="2"/>
      <c r="H34" s="5"/>
      <c r="I34" s="2"/>
      <c r="J34" s="2"/>
      <c r="K34" s="2"/>
      <c r="L34" s="2"/>
      <c r="M34" s="2"/>
      <c r="N34" s="2"/>
      <c r="O34" s="11"/>
    </row>
    <row r="35" spans="1:15" s="12" customFormat="1" ht="20.25" customHeight="1">
      <c r="A35" s="5"/>
      <c r="H35" s="5"/>
      <c r="I35" s="2"/>
      <c r="J35" s="2"/>
      <c r="K35" s="2"/>
      <c r="L35" s="2"/>
      <c r="M35" s="23" t="s">
        <v>42</v>
      </c>
      <c r="N35" s="107">
        <f>SUM(N14,N27,N33)</f>
        <v>0</v>
      </c>
      <c r="O35" s="11"/>
    </row>
    <row r="36" spans="1:14" ht="15.75" thickBot="1">
      <c r="A36" s="1"/>
      <c r="B36" s="2"/>
      <c r="C36" s="2"/>
      <c r="D36" s="2"/>
      <c r="E36" s="2"/>
      <c r="F36" s="2"/>
      <c r="H36" s="1"/>
      <c r="M36" s="23" t="s">
        <v>43</v>
      </c>
      <c r="N36" s="107">
        <f>IF(G38=0,"",G38)</f>
      </c>
    </row>
    <row r="37" spans="1:14" ht="19.5" customHeight="1" thickBot="1">
      <c r="A37" s="1"/>
      <c r="B37" s="108" t="s">
        <v>44</v>
      </c>
      <c r="C37" s="109"/>
      <c r="D37" s="109"/>
      <c r="E37" s="109"/>
      <c r="F37" s="109"/>
      <c r="G37" s="110"/>
      <c r="H37" s="1"/>
      <c r="M37" s="111" t="s">
        <v>54</v>
      </c>
      <c r="N37" s="112">
        <f>IF(G38=0,"",SUM(N35:N36))</f>
      </c>
    </row>
    <row r="38" spans="1:14" ht="19.5" customHeight="1">
      <c r="A38" s="1"/>
      <c r="B38" s="183" t="s">
        <v>45</v>
      </c>
      <c r="C38" s="183"/>
      <c r="D38" s="183"/>
      <c r="E38" s="183"/>
      <c r="F38" s="183"/>
      <c r="G38" s="113">
        <v>0</v>
      </c>
      <c r="H38" s="1"/>
      <c r="M38" s="111"/>
      <c r="N38" s="114" t="s">
        <v>55</v>
      </c>
    </row>
    <row r="39" spans="1:14" ht="19.5" customHeight="1">
      <c r="A39" s="1"/>
      <c r="B39" s="1"/>
      <c r="C39" s="1"/>
      <c r="D39" s="1"/>
      <c r="E39" s="1"/>
      <c r="F39" s="1"/>
      <c r="G39" s="1"/>
      <c r="H39" s="1"/>
      <c r="I39" s="115" t="s">
        <v>46</v>
      </c>
      <c r="J39" s="29"/>
      <c r="K39" s="29"/>
      <c r="L39" s="29"/>
      <c r="M39" s="29"/>
      <c r="N39" s="29"/>
    </row>
    <row r="40" spans="1:17" ht="12.75">
      <c r="A40" s="2"/>
      <c r="B40" s="2"/>
      <c r="C40" s="2"/>
      <c r="D40" s="2"/>
      <c r="E40" s="2"/>
      <c r="F40" s="2"/>
      <c r="H40" s="2"/>
      <c r="P40" s="116"/>
      <c r="Q40" s="116"/>
    </row>
    <row r="41" ht="28.5" customHeight="1">
      <c r="H41" s="2"/>
    </row>
    <row r="42" ht="12.75">
      <c r="H42" s="2"/>
    </row>
    <row r="61" spans="2:7" ht="12.75">
      <c r="B61" s="11"/>
      <c r="C61" s="11"/>
      <c r="G61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8:F38"/>
    <mergeCell ref="I11:N11"/>
    <mergeCell ref="I17:N17"/>
    <mergeCell ref="I18:N18"/>
    <mergeCell ref="I30:L30"/>
    <mergeCell ref="M30:N30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Q6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26.140625" style="2" customWidth="1"/>
    <col min="10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Mexico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108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39876</v>
      </c>
      <c r="J13" s="119">
        <v>39955</v>
      </c>
      <c r="K13" s="44">
        <f>+J13-I13+1</f>
        <v>80</v>
      </c>
      <c r="L13" s="129">
        <v>4.44</v>
      </c>
      <c r="M13" s="130">
        <f>ROUND(K13*L13,2)</f>
        <v>355.2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40058</v>
      </c>
      <c r="J14" s="119">
        <v>40141</v>
      </c>
      <c r="K14" s="44">
        <f>+J14-I14+1</f>
        <v>84</v>
      </c>
      <c r="L14" s="129">
        <v>4.44</v>
      </c>
      <c r="M14" s="130">
        <f>ROUND(K14*L14,2)</f>
        <v>372.96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$"&amp;ROUND(SUM(B21:B26),2)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142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 aca="true" t="shared" si="0" ref="B21:B26"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aca="true" t="shared" si="1" ref="G21:G26">C21+D21/29+E21/30+F21/31</f>
        <v>0</v>
      </c>
      <c r="H21" s="1"/>
      <c r="I21" s="137" t="s">
        <v>109</v>
      </c>
      <c r="J21" s="123" t="s">
        <v>28</v>
      </c>
      <c r="K21" s="135">
        <f>9400/13.5</f>
        <v>696.2962962962963</v>
      </c>
      <c r="L21" s="136">
        <v>0.22021276595744682</v>
      </c>
      <c r="M21" s="126">
        <f aca="true" t="shared" si="2" ref="M21:M26">ROUND(K21*L21,2)</f>
        <v>153.33</v>
      </c>
      <c r="N21" s="75" t="str">
        <f aca="true" t="shared" si="3" ref="N21:N26">IF($G21=0,"----",M21*$G21)</f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43" t="s">
        <v>110</v>
      </c>
      <c r="J22" s="123" t="s">
        <v>28</v>
      </c>
      <c r="K22" s="135">
        <f>7510/13.5</f>
        <v>556.2962962962963</v>
      </c>
      <c r="L22" s="138">
        <v>0.2756324900133156</v>
      </c>
      <c r="M22" s="126">
        <f t="shared" si="2"/>
        <v>153.33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43" t="s">
        <v>111</v>
      </c>
      <c r="J23" s="123" t="s">
        <v>28</v>
      </c>
      <c r="K23" s="135">
        <f>8480/13.5</f>
        <v>628.1481481481482</v>
      </c>
      <c r="L23" s="138">
        <v>0.23231132075471697</v>
      </c>
      <c r="M23" s="126">
        <f t="shared" si="2"/>
        <v>145.93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43" t="s">
        <v>112</v>
      </c>
      <c r="J24" s="123" t="s">
        <v>28</v>
      </c>
      <c r="K24" s="135">
        <f>6830/13.5</f>
        <v>505.9259259259259</v>
      </c>
      <c r="L24" s="138">
        <v>0.2884333821376281</v>
      </c>
      <c r="M24" s="126">
        <f t="shared" si="2"/>
        <v>145.93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43" t="s">
        <v>113</v>
      </c>
      <c r="J25" s="123" t="s">
        <v>28</v>
      </c>
      <c r="K25" s="135">
        <f>8100/13.5</f>
        <v>600</v>
      </c>
      <c r="L25" s="138">
        <v>0.24320987654320989</v>
      </c>
      <c r="M25" s="126">
        <f t="shared" si="2"/>
        <v>145.93</v>
      </c>
      <c r="N25" s="75" t="str">
        <f t="shared" si="3"/>
        <v>----</v>
      </c>
    </row>
    <row r="26" spans="1:14" ht="15" customHeight="1" thickBo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37" t="s">
        <v>114</v>
      </c>
      <c r="J26" s="123" t="s">
        <v>28</v>
      </c>
      <c r="K26" s="135">
        <f>6620/13.5</f>
        <v>490.3703703703704</v>
      </c>
      <c r="L26" s="138">
        <v>0.297583081570997</v>
      </c>
      <c r="M26" s="126">
        <f t="shared" si="2"/>
        <v>145.93</v>
      </c>
      <c r="N26" s="75" t="str">
        <f t="shared" si="3"/>
        <v>----</v>
      </c>
    </row>
    <row r="27" spans="1:16" ht="20.25" customHeight="1" thickBot="1">
      <c r="A27" s="1"/>
      <c r="B27" s="78">
        <f>SUM(B21:B26)</f>
        <v>0</v>
      </c>
      <c r="C27" s="79"/>
      <c r="D27" s="79"/>
      <c r="E27" s="79"/>
      <c r="F27" s="79"/>
      <c r="G27" s="79"/>
      <c r="H27" s="1"/>
      <c r="I27" s="80"/>
      <c r="J27" s="52"/>
      <c r="K27" s="81"/>
      <c r="L27" s="82"/>
      <c r="M27" s="54" t="s">
        <v>29</v>
      </c>
      <c r="N27" s="83" t="str">
        <f>IF(SUM(N21:N26)=0,"----",SUM((N21:N26)))</f>
        <v>----</v>
      </c>
      <c r="P27" s="84"/>
    </row>
    <row r="28" spans="1:14" ht="15" customHeight="1" thickBot="1">
      <c r="A28" s="1"/>
      <c r="B28" s="79"/>
      <c r="C28" s="79"/>
      <c r="D28" s="79"/>
      <c r="E28" s="79"/>
      <c r="F28" s="79"/>
      <c r="H28" s="1"/>
      <c r="I28" s="85"/>
      <c r="J28" s="21"/>
      <c r="K28" s="86"/>
      <c r="L28" s="87"/>
      <c r="M28" s="23"/>
      <c r="N28" s="23"/>
    </row>
    <row r="29" spans="1:17" ht="25.5" customHeight="1">
      <c r="A29" s="1"/>
      <c r="B29" s="71"/>
      <c r="C29" s="2"/>
      <c r="D29" s="2"/>
      <c r="E29" s="2"/>
      <c r="F29" s="71"/>
      <c r="H29" s="1"/>
      <c r="I29" s="24" t="s">
        <v>30</v>
      </c>
      <c r="J29" s="25"/>
      <c r="K29" s="88"/>
      <c r="L29" s="89"/>
      <c r="M29" s="90" t="s">
        <v>31</v>
      </c>
      <c r="N29" s="26"/>
      <c r="P29" s="91"/>
      <c r="Q29" s="3"/>
    </row>
    <row r="30" spans="1:17" ht="28.5" customHeight="1">
      <c r="A30" s="1"/>
      <c r="B30" s="92" t="s">
        <v>32</v>
      </c>
      <c r="C30" s="93"/>
      <c r="D30" s="93"/>
      <c r="E30" s="94"/>
      <c r="F30" s="71"/>
      <c r="G30" s="95" t="s">
        <v>33</v>
      </c>
      <c r="H30" s="1"/>
      <c r="I30" s="175" t="s">
        <v>34</v>
      </c>
      <c r="J30" s="186"/>
      <c r="K30" s="186"/>
      <c r="L30" s="186"/>
      <c r="M30" s="184" t="s">
        <v>35</v>
      </c>
      <c r="N30" s="185"/>
      <c r="P30" s="3"/>
      <c r="Q30" s="3"/>
    </row>
    <row r="31" spans="1:17" ht="45" customHeight="1">
      <c r="A31" s="1"/>
      <c r="B31" s="67" t="s">
        <v>18</v>
      </c>
      <c r="C31" s="67" t="s">
        <v>36</v>
      </c>
      <c r="D31" s="67" t="s">
        <v>37</v>
      </c>
      <c r="E31" s="67" t="s">
        <v>38</v>
      </c>
      <c r="G31" s="67" t="s">
        <v>39</v>
      </c>
      <c r="H31" s="1"/>
      <c r="I31" s="96" t="s">
        <v>27</v>
      </c>
      <c r="J31" s="97" t="s">
        <v>56</v>
      </c>
      <c r="K31" s="3"/>
      <c r="L31" s="3"/>
      <c r="M31" s="36" t="s">
        <v>40</v>
      </c>
      <c r="N31" s="37" t="s">
        <v>56</v>
      </c>
      <c r="Q31" s="3"/>
    </row>
    <row r="32" spans="1:17" ht="15" customHeight="1" thickBot="1">
      <c r="A32" s="1"/>
      <c r="B32" s="98">
        <f>SUM(C21:C26)</f>
        <v>0</v>
      </c>
      <c r="C32" s="98">
        <f>COUNTIF(D21:F26,"&gt;=16")</f>
        <v>0</v>
      </c>
      <c r="D32" s="98">
        <f>(COUNTIF(D21:F26,"&gt;0")-C32)/2</f>
        <v>0</v>
      </c>
      <c r="E32" s="98">
        <f>SUM(B32:D32)</f>
        <v>0</v>
      </c>
      <c r="G32" s="99">
        <v>0</v>
      </c>
      <c r="H32" s="1"/>
      <c r="I32" s="100">
        <v>24</v>
      </c>
      <c r="J32" s="101" t="str">
        <f>IF(E32*I32=0,"----",E32*I32)</f>
        <v>----</v>
      </c>
      <c r="K32" s="3"/>
      <c r="L32" s="3"/>
      <c r="M32" s="102">
        <v>12</v>
      </c>
      <c r="N32" s="76" t="str">
        <f>IF($G32=0,"----",M32*$G32)</f>
        <v>----</v>
      </c>
      <c r="Q32" s="3"/>
    </row>
    <row r="33" spans="1:17" ht="15" customHeight="1" thickBot="1">
      <c r="A33" s="1"/>
      <c r="B33" s="12"/>
      <c r="C33" s="12"/>
      <c r="D33" s="12"/>
      <c r="E33" s="103"/>
      <c r="F33" s="12"/>
      <c r="G33" s="12"/>
      <c r="H33" s="1"/>
      <c r="I33" s="104"/>
      <c r="J33" s="105"/>
      <c r="K33" s="105"/>
      <c r="L33" s="106"/>
      <c r="M33" s="54" t="s">
        <v>41</v>
      </c>
      <c r="N33" s="83" t="str">
        <f>IF(SUM(J32,N32)=0,"----",SUM((J32,N32)))</f>
        <v>----</v>
      </c>
      <c r="Q33" s="3"/>
    </row>
    <row r="34" spans="1:15" s="12" customFormat="1" ht="15" customHeight="1">
      <c r="A34" s="5"/>
      <c r="E34" s="2"/>
      <c r="F34" s="2"/>
      <c r="H34" s="5"/>
      <c r="I34" s="2"/>
      <c r="J34" s="2"/>
      <c r="K34" s="2"/>
      <c r="L34" s="2"/>
      <c r="M34" s="2"/>
      <c r="N34" s="2"/>
      <c r="O34" s="11"/>
    </row>
    <row r="35" spans="1:15" s="12" customFormat="1" ht="20.25" customHeight="1">
      <c r="A35" s="5"/>
      <c r="H35" s="5"/>
      <c r="I35" s="2"/>
      <c r="J35" s="2"/>
      <c r="K35" s="2"/>
      <c r="L35" s="2"/>
      <c r="M35" s="23" t="s">
        <v>42</v>
      </c>
      <c r="N35" s="107">
        <f>SUM(N15,N27,N33)</f>
        <v>0</v>
      </c>
      <c r="O35" s="11"/>
    </row>
    <row r="36" spans="1:14" ht="15.75" thickBot="1">
      <c r="A36" s="1"/>
      <c r="B36" s="2"/>
      <c r="C36" s="2"/>
      <c r="D36" s="2"/>
      <c r="E36" s="2"/>
      <c r="F36" s="2"/>
      <c r="H36" s="1"/>
      <c r="M36" s="23" t="s">
        <v>43</v>
      </c>
      <c r="N36" s="107">
        <f>IF(G38=0,"",G38)</f>
      </c>
    </row>
    <row r="37" spans="1:14" ht="19.5" customHeight="1" thickBot="1">
      <c r="A37" s="1"/>
      <c r="B37" s="108" t="s">
        <v>44</v>
      </c>
      <c r="C37" s="109"/>
      <c r="D37" s="109"/>
      <c r="E37" s="109"/>
      <c r="F37" s="109"/>
      <c r="G37" s="110"/>
      <c r="H37" s="1"/>
      <c r="M37" s="111" t="s">
        <v>54</v>
      </c>
      <c r="N37" s="112">
        <f>IF(G38=0,"",SUM(N35:N36))</f>
      </c>
    </row>
    <row r="38" spans="1:14" ht="19.5" customHeight="1">
      <c r="A38" s="1"/>
      <c r="B38" s="183" t="s">
        <v>45</v>
      </c>
      <c r="C38" s="183"/>
      <c r="D38" s="183"/>
      <c r="E38" s="183"/>
      <c r="F38" s="183"/>
      <c r="G38" s="113">
        <v>0</v>
      </c>
      <c r="H38" s="1"/>
      <c r="M38" s="111"/>
      <c r="N38" s="114" t="s">
        <v>55</v>
      </c>
    </row>
    <row r="39" spans="1:14" ht="19.5" customHeight="1">
      <c r="A39" s="1"/>
      <c r="B39" s="1"/>
      <c r="C39" s="1"/>
      <c r="D39" s="1"/>
      <c r="E39" s="1"/>
      <c r="F39" s="1"/>
      <c r="G39" s="1"/>
      <c r="H39" s="1"/>
      <c r="I39" s="115" t="s">
        <v>46</v>
      </c>
      <c r="J39" s="29"/>
      <c r="K39" s="29"/>
      <c r="L39" s="29"/>
      <c r="M39" s="29"/>
      <c r="N39" s="29"/>
    </row>
    <row r="40" spans="1:17" ht="12.75">
      <c r="A40" s="2"/>
      <c r="B40" s="2"/>
      <c r="C40" s="2"/>
      <c r="D40" s="2"/>
      <c r="E40" s="2"/>
      <c r="F40" s="2"/>
      <c r="H40" s="2"/>
      <c r="P40" s="116"/>
      <c r="Q40" s="116"/>
    </row>
    <row r="41" ht="28.5" customHeight="1">
      <c r="H41" s="2"/>
    </row>
    <row r="42" ht="12.75">
      <c r="H42" s="2"/>
    </row>
    <row r="61" spans="2:7" ht="12.75">
      <c r="B61" s="11"/>
      <c r="C61" s="11"/>
      <c r="G61" s="12"/>
    </row>
  </sheetData>
  <sheetProtection/>
  <mergeCells count="14">
    <mergeCell ref="B38:F38"/>
    <mergeCell ref="I11:N11"/>
    <mergeCell ref="I18:N18"/>
    <mergeCell ref="I19:N19"/>
    <mergeCell ref="I30:L30"/>
    <mergeCell ref="M30:N30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Micronesia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67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40069</v>
      </c>
      <c r="J13" s="119">
        <v>40131</v>
      </c>
      <c r="K13" s="44">
        <f>+J13-I13+1</f>
        <v>63</v>
      </c>
      <c r="L13" s="129">
        <v>7</v>
      </c>
      <c r="M13" s="130">
        <f>ROUND(K13*L13,2)</f>
        <v>441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71</v>
      </c>
      <c r="J20" s="121" t="s">
        <v>28</v>
      </c>
      <c r="K20" s="125">
        <v>383</v>
      </c>
      <c r="L20" s="122">
        <v>0.35</v>
      </c>
      <c r="M20" s="126">
        <f>ROUND(K20*L20,2)</f>
        <v>134.05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72</v>
      </c>
      <c r="J21" s="121" t="s">
        <v>28</v>
      </c>
      <c r="K21" s="125">
        <v>415</v>
      </c>
      <c r="L21" s="122">
        <v>0.35</v>
      </c>
      <c r="M21" s="126">
        <f>ROUND(K21*L21,2)</f>
        <v>145.25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3:F33"/>
    <mergeCell ref="I11:N11"/>
    <mergeCell ref="I17:N17"/>
    <mergeCell ref="I18:N18"/>
    <mergeCell ref="I25:L25"/>
    <mergeCell ref="M25:N25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Q5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Moldova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133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39975</v>
      </c>
      <c r="J13" s="119">
        <v>40042</v>
      </c>
      <c r="K13" s="44">
        <f>+J13-I13+1</f>
        <v>68</v>
      </c>
      <c r="L13" s="140">
        <v>2.25</v>
      </c>
      <c r="M13" s="130">
        <f>ROUND(K13*L13,2)</f>
        <v>153</v>
      </c>
      <c r="N13" s="46" t="str">
        <f>IF($G13=0,"----",M13)</f>
        <v>----</v>
      </c>
      <c r="O13" s="4" t="s">
        <v>142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39975</v>
      </c>
      <c r="J14" s="119">
        <v>40032</v>
      </c>
      <c r="K14" s="44">
        <f>+J14-I14+1</f>
        <v>58</v>
      </c>
      <c r="L14" s="140">
        <v>2.25</v>
      </c>
      <c r="M14" s="130">
        <f>ROUND(K14*L14,2)</f>
        <v>130.5</v>
      </c>
      <c r="N14" s="46" t="str">
        <f>IF($G14=0,"----",M14)</f>
        <v>----</v>
      </c>
      <c r="O14" s="4" t="s">
        <v>141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$"&amp;ROUND(SUM(B21:B23),2)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37" t="s">
        <v>50</v>
      </c>
      <c r="J21" s="134" t="s">
        <v>138</v>
      </c>
      <c r="K21" s="135">
        <v>297.3</v>
      </c>
      <c r="L21" s="136">
        <v>0.36</v>
      </c>
      <c r="M21" s="126">
        <f>ROUND(K21*L21,2)</f>
        <v>107.03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33" t="s">
        <v>50</v>
      </c>
      <c r="J22" s="134" t="s">
        <v>91</v>
      </c>
      <c r="K22" s="135">
        <v>300</v>
      </c>
      <c r="L22" s="138">
        <v>0.37</v>
      </c>
      <c r="M22" s="126">
        <f>ROUND(K22*L22,2)</f>
        <v>111</v>
      </c>
      <c r="N22" s="75" t="str">
        <f>IF($G22=0,"----",M22*$G22)</f>
        <v>----</v>
      </c>
    </row>
    <row r="23" spans="1:14" ht="15" customHeight="1" thickBo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37" t="s">
        <v>140</v>
      </c>
      <c r="J23" s="134" t="s">
        <v>28</v>
      </c>
      <c r="K23" s="135">
        <v>290.37</v>
      </c>
      <c r="L23" s="138">
        <v>0.35</v>
      </c>
      <c r="M23" s="126">
        <f>ROUND(K23*L23,2)</f>
        <v>101.63</v>
      </c>
      <c r="N23" s="75" t="str">
        <f>IF($G23=0,"----",M23*$G23)</f>
        <v>----</v>
      </c>
    </row>
    <row r="24" spans="1:16" ht="20.25" customHeight="1" thickBot="1">
      <c r="A24" s="1"/>
      <c r="B24" s="78">
        <f>SUM(B21:B23)</f>
        <v>0</v>
      </c>
      <c r="C24" s="79"/>
      <c r="D24" s="79"/>
      <c r="E24" s="79"/>
      <c r="F24" s="79"/>
      <c r="G24" s="79"/>
      <c r="H24" s="1"/>
      <c r="I24" s="80"/>
      <c r="J24" s="52"/>
      <c r="K24" s="81"/>
      <c r="L24" s="82"/>
      <c r="M24" s="54" t="s">
        <v>29</v>
      </c>
      <c r="N24" s="83" t="str">
        <f>IF(SUM(N21:N23)=0,"----",SUM((N21:N23)))</f>
        <v>----</v>
      </c>
      <c r="P24" s="84"/>
    </row>
    <row r="25" spans="1:14" ht="15" customHeight="1" thickBot="1">
      <c r="A25" s="1"/>
      <c r="B25" s="79"/>
      <c r="C25" s="79"/>
      <c r="D25" s="79"/>
      <c r="E25" s="79"/>
      <c r="F25" s="79"/>
      <c r="H25" s="1"/>
      <c r="I25" s="85"/>
      <c r="J25" s="21"/>
      <c r="K25" s="86"/>
      <c r="L25" s="87"/>
      <c r="M25" s="23"/>
      <c r="N25" s="23"/>
    </row>
    <row r="26" spans="1:17" ht="25.5" customHeight="1">
      <c r="A26" s="1"/>
      <c r="B26" s="71"/>
      <c r="C26" s="2"/>
      <c r="D26" s="2"/>
      <c r="E26" s="2"/>
      <c r="F26" s="71"/>
      <c r="H26" s="1"/>
      <c r="I26" s="24" t="s">
        <v>30</v>
      </c>
      <c r="J26" s="25"/>
      <c r="K26" s="88"/>
      <c r="L26" s="89"/>
      <c r="M26" s="90" t="s">
        <v>31</v>
      </c>
      <c r="N26" s="26"/>
      <c r="P26" s="91"/>
      <c r="Q26" s="3"/>
    </row>
    <row r="27" spans="1:17" ht="28.5" customHeight="1">
      <c r="A27" s="1"/>
      <c r="B27" s="92" t="s">
        <v>32</v>
      </c>
      <c r="C27" s="93"/>
      <c r="D27" s="93"/>
      <c r="E27" s="94"/>
      <c r="F27" s="71"/>
      <c r="G27" s="95" t="s">
        <v>33</v>
      </c>
      <c r="H27" s="1"/>
      <c r="I27" s="175" t="s">
        <v>34</v>
      </c>
      <c r="J27" s="186"/>
      <c r="K27" s="186"/>
      <c r="L27" s="186"/>
      <c r="M27" s="184" t="s">
        <v>35</v>
      </c>
      <c r="N27" s="185"/>
      <c r="P27" s="3"/>
      <c r="Q27" s="3"/>
    </row>
    <row r="28" spans="1:17" ht="45" customHeight="1">
      <c r="A28" s="1"/>
      <c r="B28" s="67" t="s">
        <v>18</v>
      </c>
      <c r="C28" s="67" t="s">
        <v>36</v>
      </c>
      <c r="D28" s="67" t="s">
        <v>37</v>
      </c>
      <c r="E28" s="67" t="s">
        <v>38</v>
      </c>
      <c r="G28" s="67" t="s">
        <v>39</v>
      </c>
      <c r="H28" s="1"/>
      <c r="I28" s="96" t="s">
        <v>27</v>
      </c>
      <c r="J28" s="97" t="s">
        <v>56</v>
      </c>
      <c r="K28" s="3"/>
      <c r="L28" s="3"/>
      <c r="M28" s="36" t="s">
        <v>40</v>
      </c>
      <c r="N28" s="37" t="s">
        <v>56</v>
      </c>
      <c r="Q28" s="3"/>
    </row>
    <row r="29" spans="1:17" ht="15" customHeight="1" thickBot="1">
      <c r="A29" s="1"/>
      <c r="B29" s="98">
        <f>SUM(C21:C23)</f>
        <v>0</v>
      </c>
      <c r="C29" s="98">
        <f>COUNTIF(D21:F23,"&gt;=16")</f>
        <v>0</v>
      </c>
      <c r="D29" s="98">
        <f>(COUNTIF(D21:F23,"&gt;0")-C29)/2</f>
        <v>0</v>
      </c>
      <c r="E29" s="98">
        <f>SUM(B29:D29)</f>
        <v>0</v>
      </c>
      <c r="G29" s="99">
        <v>0</v>
      </c>
      <c r="H29" s="1"/>
      <c r="I29" s="100">
        <v>24</v>
      </c>
      <c r="J29" s="101" t="str">
        <f>IF(E29*I29=0,"----",E29*I29)</f>
        <v>----</v>
      </c>
      <c r="K29" s="3"/>
      <c r="L29" s="3"/>
      <c r="M29" s="102">
        <v>12</v>
      </c>
      <c r="N29" s="76" t="str">
        <f>IF($G29=0,"----",M29*$G29)</f>
        <v>----</v>
      </c>
      <c r="Q29" s="3"/>
    </row>
    <row r="30" spans="1:17" ht="15" customHeight="1" thickBot="1">
      <c r="A30" s="1"/>
      <c r="B30" s="12"/>
      <c r="C30" s="12"/>
      <c r="D30" s="12"/>
      <c r="E30" s="103"/>
      <c r="F30" s="12"/>
      <c r="G30" s="12"/>
      <c r="H30" s="1"/>
      <c r="I30" s="104"/>
      <c r="J30" s="105"/>
      <c r="K30" s="105"/>
      <c r="L30" s="106"/>
      <c r="M30" s="54" t="s">
        <v>41</v>
      </c>
      <c r="N30" s="83" t="str">
        <f>IF(SUM(J29,N29)=0,"----",SUM((J29,N29)))</f>
        <v>----</v>
      </c>
      <c r="Q30" s="3"/>
    </row>
    <row r="31" spans="1:15" s="12" customFormat="1" ht="15" customHeight="1">
      <c r="A31" s="5"/>
      <c r="E31" s="2"/>
      <c r="F31" s="2"/>
      <c r="H31" s="5"/>
      <c r="I31" s="2"/>
      <c r="J31" s="2"/>
      <c r="K31" s="2"/>
      <c r="L31" s="2"/>
      <c r="M31" s="2"/>
      <c r="N31" s="2"/>
      <c r="O31" s="11"/>
    </row>
    <row r="32" spans="1:15" s="12" customFormat="1" ht="20.25" customHeight="1">
      <c r="A32" s="5"/>
      <c r="H32" s="5"/>
      <c r="I32" s="2"/>
      <c r="J32" s="2"/>
      <c r="K32" s="2"/>
      <c r="L32" s="2"/>
      <c r="M32" s="23" t="s">
        <v>42</v>
      </c>
      <c r="N32" s="107">
        <f>SUM(N15,N24,N30)</f>
        <v>0</v>
      </c>
      <c r="O32" s="11"/>
    </row>
    <row r="33" spans="1:14" ht="15.75" thickBot="1">
      <c r="A33" s="1"/>
      <c r="B33" s="2"/>
      <c r="C33" s="2"/>
      <c r="D33" s="2"/>
      <c r="E33" s="2"/>
      <c r="F33" s="2"/>
      <c r="H33" s="1"/>
      <c r="M33" s="23" t="s">
        <v>43</v>
      </c>
      <c r="N33" s="107">
        <f>IF(G35=0,"",G35)</f>
      </c>
    </row>
    <row r="34" spans="1:14" ht="19.5" customHeight="1" thickBot="1">
      <c r="A34" s="1"/>
      <c r="B34" s="108" t="s">
        <v>44</v>
      </c>
      <c r="C34" s="109"/>
      <c r="D34" s="109"/>
      <c r="E34" s="109"/>
      <c r="F34" s="109"/>
      <c r="G34" s="110"/>
      <c r="H34" s="1"/>
      <c r="M34" s="111" t="s">
        <v>54</v>
      </c>
      <c r="N34" s="112">
        <f>IF(G35=0,"",SUM(N32:N33))</f>
      </c>
    </row>
    <row r="35" spans="1:14" ht="19.5" customHeight="1">
      <c r="A35" s="1"/>
      <c r="B35" s="183" t="s">
        <v>45</v>
      </c>
      <c r="C35" s="183"/>
      <c r="D35" s="183"/>
      <c r="E35" s="183"/>
      <c r="F35" s="183"/>
      <c r="G35" s="113">
        <v>0</v>
      </c>
      <c r="H35" s="1"/>
      <c r="M35" s="111"/>
      <c r="N35" s="114" t="s">
        <v>55</v>
      </c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15" t="s">
        <v>46</v>
      </c>
      <c r="J36" s="29"/>
      <c r="K36" s="29"/>
      <c r="L36" s="29"/>
      <c r="M36" s="29"/>
      <c r="N36" s="29"/>
    </row>
    <row r="37" spans="1:17" ht="12.75">
      <c r="A37" s="2"/>
      <c r="B37" s="2"/>
      <c r="C37" s="2"/>
      <c r="D37" s="2"/>
      <c r="E37" s="2"/>
      <c r="F37" s="2"/>
      <c r="H37" s="2"/>
      <c r="P37" s="116"/>
      <c r="Q37" s="116"/>
    </row>
    <row r="38" ht="28.5" customHeight="1">
      <c r="H38" s="2"/>
    </row>
    <row r="39" ht="12.75">
      <c r="H39" s="2"/>
    </row>
    <row r="58" spans="2:7" ht="12.75">
      <c r="B58" s="11"/>
      <c r="C58" s="11"/>
      <c r="G58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5:F35"/>
    <mergeCell ref="I11:N11"/>
    <mergeCell ref="I18:N18"/>
    <mergeCell ref="I19:N19"/>
    <mergeCell ref="I27:L27"/>
    <mergeCell ref="M27:N27"/>
  </mergeCell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6" width="8.00390625" style="2" bestFit="1" customWidth="1"/>
    <col min="17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Mongolia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69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39977</v>
      </c>
      <c r="J13" s="119">
        <v>40043</v>
      </c>
      <c r="K13" s="44">
        <f>+J13-I13+1</f>
        <v>67</v>
      </c>
      <c r="L13" s="129">
        <v>1.49</v>
      </c>
      <c r="M13" s="130">
        <f>ROUND(K13*L13,2)</f>
        <v>99.83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$"&amp;ROUND(SUM(B20:B23),2)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6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73</v>
      </c>
      <c r="J20" s="121" t="s">
        <v>76</v>
      </c>
      <c r="K20" s="125">
        <v>125.55</v>
      </c>
      <c r="L20" s="122">
        <v>0.341</v>
      </c>
      <c r="M20" s="126">
        <f>ROUND(K20*L20,2)</f>
        <v>42.81</v>
      </c>
      <c r="N20" s="75" t="str">
        <f>IF($G20=0,"----",M20*$G20)</f>
        <v>----</v>
      </c>
      <c r="P20" s="128"/>
    </row>
    <row r="21" spans="1:17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75</v>
      </c>
      <c r="J21" s="121" t="s">
        <v>76</v>
      </c>
      <c r="K21" s="125">
        <v>121.8</v>
      </c>
      <c r="L21" s="122">
        <v>0.164</v>
      </c>
      <c r="M21" s="126">
        <f>ROUND(K21*L21,2)</f>
        <v>19.98</v>
      </c>
      <c r="N21" s="75" t="str">
        <f>IF($G21=0,"----",M21*$G21)</f>
        <v>----</v>
      </c>
      <c r="P21" s="128"/>
      <c r="Q21" s="3"/>
    </row>
    <row r="22" spans="1:17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74</v>
      </c>
      <c r="J22" s="121" t="s">
        <v>76</v>
      </c>
      <c r="K22" s="125">
        <v>102.36</v>
      </c>
      <c r="L22" s="122">
        <v>0.213</v>
      </c>
      <c r="M22" s="126">
        <f>ROUND(K22*L22,2)</f>
        <v>21.8</v>
      </c>
      <c r="N22" s="75" t="str">
        <f>IF($G22=0,"----",M22*$G22)</f>
        <v>----</v>
      </c>
      <c r="P22" s="128"/>
      <c r="Q22" s="3"/>
    </row>
    <row r="23" spans="1:17" ht="15" customHeight="1" thickBo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64</v>
      </c>
      <c r="J23" s="121" t="s">
        <v>135</v>
      </c>
      <c r="K23" s="125">
        <v>136.39</v>
      </c>
      <c r="L23" s="122">
        <v>0.132</v>
      </c>
      <c r="M23" s="126">
        <f>ROUND(K23*L23,2)</f>
        <v>18</v>
      </c>
      <c r="N23" s="75" t="str">
        <f>IF($G23=0,"----",M23*$G23)</f>
        <v>----</v>
      </c>
      <c r="P23" s="128"/>
      <c r="Q23" s="3"/>
    </row>
    <row r="24" spans="1:17" ht="20.25" customHeight="1" thickBot="1">
      <c r="A24" s="1"/>
      <c r="B24" s="78">
        <f>SUM(B20:B23)</f>
        <v>0</v>
      </c>
      <c r="C24" s="79"/>
      <c r="D24" s="79"/>
      <c r="E24" s="79"/>
      <c r="F24" s="79"/>
      <c r="G24" s="79"/>
      <c r="H24" s="1"/>
      <c r="I24" s="80"/>
      <c r="J24" s="52"/>
      <c r="K24" s="81"/>
      <c r="L24" s="82"/>
      <c r="M24" s="54" t="s">
        <v>29</v>
      </c>
      <c r="N24" s="83" t="str">
        <f>IF(SUM(N20:N23)=0,"----",SUM((N20:N23)))</f>
        <v>----</v>
      </c>
      <c r="P24" s="127"/>
      <c r="Q24" s="3"/>
    </row>
    <row r="25" spans="1:14" ht="15" customHeight="1" thickBot="1">
      <c r="A25" s="1"/>
      <c r="B25" s="79"/>
      <c r="C25" s="79"/>
      <c r="D25" s="79"/>
      <c r="E25" s="79"/>
      <c r="F25" s="79"/>
      <c r="H25" s="1"/>
      <c r="I25" s="85"/>
      <c r="J25" s="21"/>
      <c r="K25" s="86"/>
      <c r="L25" s="87"/>
      <c r="M25" s="23"/>
      <c r="N25" s="23"/>
    </row>
    <row r="26" spans="1:17" ht="25.5" customHeight="1">
      <c r="A26" s="1"/>
      <c r="B26" s="71"/>
      <c r="C26" s="2"/>
      <c r="D26" s="2"/>
      <c r="E26" s="2"/>
      <c r="F26" s="71"/>
      <c r="H26" s="1"/>
      <c r="I26" s="24" t="s">
        <v>30</v>
      </c>
      <c r="J26" s="25"/>
      <c r="K26" s="88"/>
      <c r="L26" s="89"/>
      <c r="M26" s="90" t="s">
        <v>31</v>
      </c>
      <c r="N26" s="26"/>
      <c r="P26" s="91"/>
      <c r="Q26" s="3"/>
    </row>
    <row r="27" spans="1:17" ht="28.5" customHeight="1">
      <c r="A27" s="1"/>
      <c r="B27" s="92" t="s">
        <v>32</v>
      </c>
      <c r="C27" s="93"/>
      <c r="D27" s="93"/>
      <c r="E27" s="94"/>
      <c r="F27" s="71"/>
      <c r="G27" s="95" t="s">
        <v>33</v>
      </c>
      <c r="H27" s="1"/>
      <c r="I27" s="175" t="s">
        <v>34</v>
      </c>
      <c r="J27" s="186"/>
      <c r="K27" s="186"/>
      <c r="L27" s="186"/>
      <c r="M27" s="184" t="s">
        <v>35</v>
      </c>
      <c r="N27" s="185"/>
      <c r="P27" s="3"/>
      <c r="Q27" s="3"/>
    </row>
    <row r="28" spans="1:17" ht="45" customHeight="1">
      <c r="A28" s="1"/>
      <c r="B28" s="67" t="s">
        <v>18</v>
      </c>
      <c r="C28" s="67" t="s">
        <v>36</v>
      </c>
      <c r="D28" s="67" t="s">
        <v>37</v>
      </c>
      <c r="E28" s="67" t="s">
        <v>38</v>
      </c>
      <c r="G28" s="67" t="s">
        <v>39</v>
      </c>
      <c r="H28" s="1"/>
      <c r="I28" s="96" t="s">
        <v>27</v>
      </c>
      <c r="J28" s="97" t="s">
        <v>56</v>
      </c>
      <c r="K28" s="3"/>
      <c r="L28" s="3"/>
      <c r="M28" s="36" t="s">
        <v>40</v>
      </c>
      <c r="N28" s="37" t="s">
        <v>56</v>
      </c>
      <c r="Q28" s="3"/>
    </row>
    <row r="29" spans="1:17" ht="15" customHeight="1" thickBot="1">
      <c r="A29" s="1"/>
      <c r="B29" s="98">
        <f>SUM(C20:C23)</f>
        <v>0</v>
      </c>
      <c r="C29" s="98">
        <f>COUNTIF(D20:F23,"&gt;=16")</f>
        <v>0</v>
      </c>
      <c r="D29" s="98">
        <f>(COUNTIF(D20:F23,"&gt;0")-C29)/2</f>
        <v>0</v>
      </c>
      <c r="E29" s="98">
        <f>SUM(B29:D29)</f>
        <v>0</v>
      </c>
      <c r="G29" s="99">
        <v>0</v>
      </c>
      <c r="H29" s="1"/>
      <c r="I29" s="100">
        <v>24</v>
      </c>
      <c r="J29" s="101" t="str">
        <f>IF(E29*I29=0,"----",E29*I29)</f>
        <v>----</v>
      </c>
      <c r="K29" s="3"/>
      <c r="L29" s="3"/>
      <c r="M29" s="102">
        <v>12</v>
      </c>
      <c r="N29" s="76" t="str">
        <f>IF($G29=0,"----",M29*$G29)</f>
        <v>----</v>
      </c>
      <c r="Q29" s="3"/>
    </row>
    <row r="30" spans="1:17" ht="15" customHeight="1" thickBot="1">
      <c r="A30" s="1"/>
      <c r="B30" s="12"/>
      <c r="C30" s="12"/>
      <c r="D30" s="12"/>
      <c r="E30" s="103"/>
      <c r="F30" s="12"/>
      <c r="G30" s="12"/>
      <c r="H30" s="1"/>
      <c r="I30" s="104"/>
      <c r="J30" s="105"/>
      <c r="K30" s="105"/>
      <c r="L30" s="106"/>
      <c r="M30" s="54" t="s">
        <v>41</v>
      </c>
      <c r="N30" s="83" t="str">
        <f>IF(SUM(J29,N29)=0,"----",SUM((J29,N29)))</f>
        <v>----</v>
      </c>
      <c r="Q30" s="3"/>
    </row>
    <row r="31" spans="1:15" s="12" customFormat="1" ht="15" customHeight="1">
      <c r="A31" s="5"/>
      <c r="E31" s="2"/>
      <c r="F31" s="2"/>
      <c r="H31" s="5"/>
      <c r="I31" s="2"/>
      <c r="J31" s="2"/>
      <c r="K31" s="2"/>
      <c r="L31" s="2"/>
      <c r="M31" s="2"/>
      <c r="N31" s="2"/>
      <c r="O31" s="11"/>
    </row>
    <row r="32" spans="1:15" s="12" customFormat="1" ht="20.25" customHeight="1">
      <c r="A32" s="5"/>
      <c r="H32" s="5"/>
      <c r="I32" s="2"/>
      <c r="J32" s="2"/>
      <c r="K32" s="2"/>
      <c r="L32" s="2"/>
      <c r="M32" s="23" t="s">
        <v>42</v>
      </c>
      <c r="N32" s="107">
        <f>SUM(N14,N24,N30)</f>
        <v>0</v>
      </c>
      <c r="O32" s="11"/>
    </row>
    <row r="33" spans="1:14" ht="15.75" thickBot="1">
      <c r="A33" s="1"/>
      <c r="B33" s="2"/>
      <c r="C33" s="2"/>
      <c r="D33" s="2"/>
      <c r="E33" s="2"/>
      <c r="F33" s="2"/>
      <c r="H33" s="1"/>
      <c r="M33" s="23" t="s">
        <v>43</v>
      </c>
      <c r="N33" s="107">
        <f>IF(G35=0,"",G35)</f>
      </c>
    </row>
    <row r="34" spans="1:14" ht="19.5" customHeight="1" thickBot="1">
      <c r="A34" s="1"/>
      <c r="B34" s="108" t="s">
        <v>44</v>
      </c>
      <c r="C34" s="109"/>
      <c r="D34" s="109"/>
      <c r="E34" s="109"/>
      <c r="F34" s="109"/>
      <c r="G34" s="110"/>
      <c r="H34" s="1"/>
      <c r="M34" s="111" t="s">
        <v>54</v>
      </c>
      <c r="N34" s="112">
        <f>IF(G35=0,"",SUM(N32:N33))</f>
      </c>
    </row>
    <row r="35" spans="1:14" ht="19.5" customHeight="1">
      <c r="A35" s="1"/>
      <c r="B35" s="183" t="s">
        <v>45</v>
      </c>
      <c r="C35" s="183"/>
      <c r="D35" s="183"/>
      <c r="E35" s="183"/>
      <c r="F35" s="183"/>
      <c r="G35" s="113">
        <v>0</v>
      </c>
      <c r="H35" s="1"/>
      <c r="M35" s="111"/>
      <c r="N35" s="114" t="s">
        <v>55</v>
      </c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15" t="s">
        <v>46</v>
      </c>
      <c r="J36" s="29"/>
      <c r="K36" s="29"/>
      <c r="L36" s="29"/>
      <c r="M36" s="29"/>
      <c r="N36" s="29"/>
    </row>
    <row r="37" spans="1:17" ht="12.75">
      <c r="A37" s="2"/>
      <c r="B37" s="2"/>
      <c r="C37" s="2"/>
      <c r="D37" s="2"/>
      <c r="E37" s="2"/>
      <c r="F37" s="2"/>
      <c r="H37" s="2"/>
      <c r="P37" s="116"/>
      <c r="Q37" s="116"/>
    </row>
    <row r="38" ht="28.5" customHeight="1">
      <c r="H38" s="2"/>
    </row>
    <row r="39" ht="12.75">
      <c r="H39" s="2"/>
    </row>
    <row r="58" spans="2:7" ht="12.75">
      <c r="B58" s="11"/>
      <c r="C58" s="11"/>
      <c r="G58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5:F35"/>
    <mergeCell ref="I11:N11"/>
    <mergeCell ref="I17:N17"/>
    <mergeCell ref="I18:N18"/>
    <mergeCell ref="I27:L27"/>
    <mergeCell ref="M27:N27"/>
  </mergeCell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1:Q62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18.421875" style="2" customWidth="1"/>
    <col min="10" max="10" width="32.57421875" style="2" customWidth="1"/>
    <col min="11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Morocco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168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39876</v>
      </c>
      <c r="J13" s="119">
        <v>39932</v>
      </c>
      <c r="K13" s="44">
        <f>+J13-I13+1</f>
        <v>57</v>
      </c>
      <c r="L13" s="129">
        <v>3.7</v>
      </c>
      <c r="M13" s="130">
        <f>ROUND(K13*L13,2)</f>
        <v>210.9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40066</v>
      </c>
      <c r="J14" s="119">
        <v>40129</v>
      </c>
      <c r="K14" s="44">
        <f>+J14-I14+1</f>
        <v>64</v>
      </c>
      <c r="L14" s="129">
        <v>3.7</v>
      </c>
      <c r="M14" s="130">
        <f>ROUND(K14*L14,2)</f>
        <v>236.8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$"&amp;ROUND(SUM(B21:B27),2)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 aca="true" t="shared" si="0" ref="B21:B27"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aca="true" t="shared" si="1" ref="G21:G27">C21+D21/29+E21/30+F21/31</f>
        <v>0</v>
      </c>
      <c r="H21" s="1"/>
      <c r="I21" s="133" t="s">
        <v>64</v>
      </c>
      <c r="J21" s="134" t="s">
        <v>51</v>
      </c>
      <c r="K21" s="135">
        <v>259.4</v>
      </c>
      <c r="L21" s="136">
        <v>0.42</v>
      </c>
      <c r="M21" s="126">
        <f aca="true" t="shared" si="2" ref="M21:M27">ROUND(K21*L21,2)</f>
        <v>108.95</v>
      </c>
      <c r="N21" s="75" t="str">
        <f aca="true" t="shared" si="3" ref="N21:N27">IF($G21=0,"----",M21*$G21)</f>
        <v>----</v>
      </c>
    </row>
    <row r="22" spans="1:14" ht="15.7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33" t="s">
        <v>169</v>
      </c>
      <c r="J22" s="154" t="s">
        <v>175</v>
      </c>
      <c r="K22" s="135">
        <v>129.7</v>
      </c>
      <c r="L22" s="136">
        <v>0.42</v>
      </c>
      <c r="M22" s="126">
        <f t="shared" si="2"/>
        <v>54.47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33" t="s">
        <v>170</v>
      </c>
      <c r="J23" s="155" t="s">
        <v>173</v>
      </c>
      <c r="K23" s="135">
        <v>259.4</v>
      </c>
      <c r="L23" s="136">
        <v>0.42</v>
      </c>
      <c r="M23" s="126">
        <f t="shared" si="2"/>
        <v>108.95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33" t="s">
        <v>171</v>
      </c>
      <c r="J24" s="155" t="s">
        <v>174</v>
      </c>
      <c r="K24" s="135">
        <v>259.4</v>
      </c>
      <c r="L24" s="136">
        <v>0.42</v>
      </c>
      <c r="M24" s="126">
        <f t="shared" si="2"/>
        <v>108.95</v>
      </c>
      <c r="N24" s="75" t="str">
        <f t="shared" si="3"/>
        <v>----</v>
      </c>
    </row>
    <row r="25" spans="1:14" ht="26.25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37" t="s">
        <v>172</v>
      </c>
      <c r="J25" s="154" t="s">
        <v>176</v>
      </c>
      <c r="K25" s="135">
        <v>77.82</v>
      </c>
      <c r="L25" s="153">
        <v>0.245</v>
      </c>
      <c r="M25" s="126">
        <f t="shared" si="2"/>
        <v>19.07</v>
      </c>
      <c r="N25" s="75" t="str">
        <f t="shared" si="3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37" t="s">
        <v>172</v>
      </c>
      <c r="J26" s="134" t="s">
        <v>177</v>
      </c>
      <c r="K26" s="135">
        <v>118.35</v>
      </c>
      <c r="L26" s="153">
        <v>0.245</v>
      </c>
      <c r="M26" s="126">
        <f t="shared" si="2"/>
        <v>29</v>
      </c>
      <c r="N26" s="75" t="str">
        <f t="shared" si="3"/>
        <v>----</v>
      </c>
    </row>
    <row r="27" spans="1:14" ht="15" customHeight="1" thickBo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37" t="s">
        <v>171</v>
      </c>
      <c r="J27" s="134" t="s">
        <v>97</v>
      </c>
      <c r="K27" s="135">
        <v>236.71</v>
      </c>
      <c r="L27" s="153">
        <v>0.245</v>
      </c>
      <c r="M27" s="126">
        <f t="shared" si="2"/>
        <v>57.99</v>
      </c>
      <c r="N27" s="75" t="str">
        <f t="shared" si="3"/>
        <v>----</v>
      </c>
    </row>
    <row r="28" spans="1:16" ht="20.25" customHeight="1" thickBot="1">
      <c r="A28" s="1"/>
      <c r="B28" s="78">
        <f>SUM(B21:B27)</f>
        <v>0</v>
      </c>
      <c r="C28" s="79"/>
      <c r="D28" s="79"/>
      <c r="E28" s="79"/>
      <c r="F28" s="79"/>
      <c r="G28" s="79"/>
      <c r="H28" s="1"/>
      <c r="I28" s="80"/>
      <c r="J28" s="52"/>
      <c r="K28" s="81"/>
      <c r="L28" s="82"/>
      <c r="M28" s="54" t="s">
        <v>29</v>
      </c>
      <c r="N28" s="83" t="str">
        <f>IF(SUM(N21:N27)=0,"----",SUM((N21:N27)))</f>
        <v>----</v>
      </c>
      <c r="P28" s="84"/>
    </row>
    <row r="29" spans="1:14" ht="15" customHeight="1" thickBot="1">
      <c r="A29" s="1"/>
      <c r="B29" s="79"/>
      <c r="C29" s="79"/>
      <c r="D29" s="79"/>
      <c r="E29" s="79"/>
      <c r="F29" s="79"/>
      <c r="H29" s="1"/>
      <c r="I29" s="85"/>
      <c r="J29" s="21"/>
      <c r="K29" s="86"/>
      <c r="L29" s="87"/>
      <c r="M29" s="23"/>
      <c r="N29" s="23"/>
    </row>
    <row r="30" spans="1:17" ht="25.5" customHeight="1">
      <c r="A30" s="1"/>
      <c r="B30" s="71"/>
      <c r="C30" s="2"/>
      <c r="D30" s="2"/>
      <c r="E30" s="2"/>
      <c r="F30" s="71"/>
      <c r="H30" s="1"/>
      <c r="I30" s="24" t="s">
        <v>30</v>
      </c>
      <c r="J30" s="25"/>
      <c r="K30" s="88"/>
      <c r="L30" s="89"/>
      <c r="M30" s="90" t="s">
        <v>31</v>
      </c>
      <c r="N30" s="26"/>
      <c r="P30" s="91"/>
      <c r="Q30" s="3"/>
    </row>
    <row r="31" spans="1:17" ht="28.5" customHeight="1">
      <c r="A31" s="1"/>
      <c r="B31" s="92" t="s">
        <v>32</v>
      </c>
      <c r="C31" s="93"/>
      <c r="D31" s="93"/>
      <c r="E31" s="94"/>
      <c r="F31" s="71"/>
      <c r="G31" s="95" t="s">
        <v>33</v>
      </c>
      <c r="H31" s="1"/>
      <c r="I31" s="175" t="s">
        <v>34</v>
      </c>
      <c r="J31" s="186"/>
      <c r="K31" s="186"/>
      <c r="L31" s="186"/>
      <c r="M31" s="184" t="s">
        <v>35</v>
      </c>
      <c r="N31" s="185"/>
      <c r="P31" s="3"/>
      <c r="Q31" s="3"/>
    </row>
    <row r="32" spans="1:17" ht="45" customHeight="1">
      <c r="A32" s="1"/>
      <c r="B32" s="67" t="s">
        <v>18</v>
      </c>
      <c r="C32" s="67" t="s">
        <v>36</v>
      </c>
      <c r="D32" s="67" t="s">
        <v>37</v>
      </c>
      <c r="E32" s="67" t="s">
        <v>38</v>
      </c>
      <c r="G32" s="67" t="s">
        <v>39</v>
      </c>
      <c r="H32" s="1"/>
      <c r="I32" s="96" t="s">
        <v>27</v>
      </c>
      <c r="J32" s="97" t="s">
        <v>56</v>
      </c>
      <c r="K32" s="3"/>
      <c r="L32" s="3"/>
      <c r="M32" s="36" t="s">
        <v>40</v>
      </c>
      <c r="N32" s="37" t="s">
        <v>56</v>
      </c>
      <c r="Q32" s="3"/>
    </row>
    <row r="33" spans="1:17" ht="15" customHeight="1" thickBot="1">
      <c r="A33" s="1"/>
      <c r="B33" s="98">
        <f>SUM(C21:C27)</f>
        <v>0</v>
      </c>
      <c r="C33" s="98">
        <f>COUNTIF(D21:F27,"&gt;=16")</f>
        <v>0</v>
      </c>
      <c r="D33" s="98">
        <f>(COUNTIF(D21:F27,"&gt;0")-C33)/2</f>
        <v>0</v>
      </c>
      <c r="E33" s="98">
        <f>SUM(B33:D33)</f>
        <v>0</v>
      </c>
      <c r="G33" s="99">
        <v>0</v>
      </c>
      <c r="H33" s="1"/>
      <c r="I33" s="100">
        <v>24</v>
      </c>
      <c r="J33" s="101" t="str">
        <f>IF(E33*I33=0,"----",E33*I33)</f>
        <v>----</v>
      </c>
      <c r="K33" s="3"/>
      <c r="L33" s="3"/>
      <c r="M33" s="102">
        <v>12</v>
      </c>
      <c r="N33" s="76" t="str">
        <f>IF($G33=0,"----",M33*$G33)</f>
        <v>----</v>
      </c>
      <c r="Q33" s="3"/>
    </row>
    <row r="34" spans="1:17" ht="15" customHeight="1" thickBot="1">
      <c r="A34" s="1"/>
      <c r="B34" s="12"/>
      <c r="C34" s="12"/>
      <c r="D34" s="12"/>
      <c r="E34" s="103"/>
      <c r="F34" s="12"/>
      <c r="G34" s="12"/>
      <c r="H34" s="1"/>
      <c r="I34" s="104"/>
      <c r="J34" s="105"/>
      <c r="K34" s="105"/>
      <c r="L34" s="106"/>
      <c r="M34" s="54" t="s">
        <v>41</v>
      </c>
      <c r="N34" s="83" t="str">
        <f>IF(SUM(J33,N33)=0,"----",SUM((J33,N33)))</f>
        <v>----</v>
      </c>
      <c r="Q34" s="3"/>
    </row>
    <row r="35" spans="1:15" s="12" customFormat="1" ht="15" customHeight="1">
      <c r="A35" s="5"/>
      <c r="E35" s="2"/>
      <c r="F35" s="2"/>
      <c r="H35" s="5"/>
      <c r="I35" s="2"/>
      <c r="J35" s="2"/>
      <c r="K35" s="2"/>
      <c r="L35" s="2"/>
      <c r="M35" s="2"/>
      <c r="N35" s="2"/>
      <c r="O35" s="11"/>
    </row>
    <row r="36" spans="1:15" s="12" customFormat="1" ht="20.25" customHeight="1">
      <c r="A36" s="5"/>
      <c r="H36" s="5"/>
      <c r="I36" s="2"/>
      <c r="J36" s="2"/>
      <c r="K36" s="2"/>
      <c r="L36" s="2"/>
      <c r="M36" s="23" t="s">
        <v>42</v>
      </c>
      <c r="N36" s="107">
        <f>SUM(N15,N28,N34)</f>
        <v>0</v>
      </c>
      <c r="O36" s="11"/>
    </row>
    <row r="37" spans="1:14" ht="15.75" thickBot="1">
      <c r="A37" s="1"/>
      <c r="B37" s="2"/>
      <c r="C37" s="2"/>
      <c r="D37" s="2"/>
      <c r="E37" s="2"/>
      <c r="F37" s="2"/>
      <c r="H37" s="1"/>
      <c r="M37" s="23" t="s">
        <v>43</v>
      </c>
      <c r="N37" s="107">
        <f>IF(G39=0,"",G39)</f>
      </c>
    </row>
    <row r="38" spans="1:14" ht="19.5" customHeight="1" thickBot="1">
      <c r="A38" s="1"/>
      <c r="B38" s="108" t="s">
        <v>44</v>
      </c>
      <c r="C38" s="109"/>
      <c r="D38" s="109"/>
      <c r="E38" s="109"/>
      <c r="F38" s="109"/>
      <c r="G38" s="110"/>
      <c r="H38" s="1"/>
      <c r="M38" s="111" t="s">
        <v>54</v>
      </c>
      <c r="N38" s="112">
        <f>IF(G39=0,"",SUM(N36:N37))</f>
      </c>
    </row>
    <row r="39" spans="1:14" ht="19.5" customHeight="1">
      <c r="A39" s="1"/>
      <c r="B39" s="183" t="s">
        <v>45</v>
      </c>
      <c r="C39" s="183"/>
      <c r="D39" s="183"/>
      <c r="E39" s="183"/>
      <c r="F39" s="183"/>
      <c r="G39" s="113">
        <v>0</v>
      </c>
      <c r="H39" s="1"/>
      <c r="M39" s="111"/>
      <c r="N39" s="114" t="s">
        <v>55</v>
      </c>
    </row>
    <row r="40" spans="1:14" ht="19.5" customHeight="1">
      <c r="A40" s="1"/>
      <c r="B40" s="1"/>
      <c r="C40" s="1"/>
      <c r="D40" s="1"/>
      <c r="E40" s="1"/>
      <c r="F40" s="1"/>
      <c r="G40" s="1"/>
      <c r="H40" s="1"/>
      <c r="I40" s="115" t="s">
        <v>46</v>
      </c>
      <c r="J40" s="29"/>
      <c r="K40" s="29"/>
      <c r="L40" s="29"/>
      <c r="M40" s="29"/>
      <c r="N40" s="29"/>
    </row>
    <row r="41" spans="1:17" ht="12.75">
      <c r="A41" s="2"/>
      <c r="B41" s="2"/>
      <c r="C41" s="2"/>
      <c r="D41" s="2"/>
      <c r="E41" s="2"/>
      <c r="F41" s="2"/>
      <c r="H41" s="2"/>
      <c r="P41" s="116"/>
      <c r="Q41" s="116"/>
    </row>
    <row r="42" ht="28.5" customHeight="1">
      <c r="H42" s="2"/>
    </row>
    <row r="43" ht="12.75">
      <c r="H43" s="2"/>
    </row>
    <row r="62" spans="2:7" ht="12.75">
      <c r="B62" s="11"/>
      <c r="C62" s="11"/>
      <c r="G62" s="12"/>
    </row>
  </sheetData>
  <sheetProtection/>
  <mergeCells count="14">
    <mergeCell ref="B39:F39"/>
    <mergeCell ref="I11:N11"/>
    <mergeCell ref="I18:N18"/>
    <mergeCell ref="I19:N19"/>
    <mergeCell ref="I31:L31"/>
    <mergeCell ref="M31:N31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4">
      <selection activeCell="I22" sqref="I22:N22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349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Ghana</v>
      </c>
      <c r="K5" s="8"/>
      <c r="L5" s="9"/>
      <c r="M5" s="10"/>
      <c r="N5" s="10"/>
      <c r="O5" s="11"/>
      <c r="P5" s="2"/>
      <c r="Q5" s="2"/>
    </row>
    <row r="6" spans="1:14" ht="18">
      <c r="A6" s="1"/>
      <c r="C6" s="258" t="s">
        <v>1</v>
      </c>
      <c r="D6" s="258"/>
      <c r="E6" s="259" t="s">
        <v>236</v>
      </c>
      <c r="F6" s="259"/>
      <c r="G6" s="259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258" t="s">
        <v>2</v>
      </c>
      <c r="D7" s="258"/>
      <c r="E7" s="260" t="s">
        <v>350</v>
      </c>
      <c r="F7" s="260"/>
      <c r="G7" s="260"/>
      <c r="H7" s="1"/>
      <c r="K7" s="15" t="s">
        <v>2</v>
      </c>
      <c r="L7" s="16" t="str">
        <f>E7</f>
        <v>Luis McPCV</v>
      </c>
      <c r="M7" s="17"/>
      <c r="N7" s="17"/>
    </row>
    <row r="8" spans="1:14" ht="30.75" customHeight="1">
      <c r="A8" s="1"/>
      <c r="B8" s="2"/>
      <c r="C8" s="258" t="s">
        <v>60</v>
      </c>
      <c r="D8" s="258"/>
      <c r="E8" s="260" t="s">
        <v>365</v>
      </c>
      <c r="F8" s="260"/>
      <c r="G8" s="260"/>
      <c r="H8" s="1"/>
      <c r="K8" s="15" t="s">
        <v>53</v>
      </c>
      <c r="L8" s="18" t="str">
        <f>E8</f>
        <v>Jan 01 - Oct 29, 2009</v>
      </c>
      <c r="M8" s="19"/>
      <c r="N8" s="19"/>
    </row>
    <row r="9" spans="1:17" ht="15" customHeight="1" thickBot="1">
      <c r="A9" s="1"/>
      <c r="B9" s="262" t="s">
        <v>361</v>
      </c>
      <c r="C9" s="262"/>
      <c r="D9" s="262"/>
      <c r="E9" s="262"/>
      <c r="F9" s="262"/>
      <c r="G9" s="26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62" t="s">
        <v>366</v>
      </c>
      <c r="C10" s="262"/>
      <c r="D10" s="262"/>
      <c r="E10" s="262"/>
      <c r="F10" s="262"/>
      <c r="G10" s="26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62"/>
      <c r="C11" s="262"/>
      <c r="D11" s="262"/>
      <c r="E11" s="262"/>
      <c r="F11" s="262"/>
      <c r="G11" s="26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263">
        <v>39609</v>
      </c>
      <c r="J13" s="264">
        <v>39679</v>
      </c>
      <c r="K13" s="44">
        <f aca="true" t="shared" si="0" ref="K13:K18">+J13-I13+1</f>
        <v>71</v>
      </c>
      <c r="L13" s="265">
        <v>1.9</v>
      </c>
      <c r="M13" s="45">
        <f aca="true" t="shared" si="1" ref="M13:M18">ROUND(K13*L13,2)</f>
        <v>134.9</v>
      </c>
      <c r="N13" s="46" t="str">
        <f aca="true" t="shared" si="2" ref="N13:N18"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263">
        <v>39721</v>
      </c>
      <c r="J14" s="264">
        <v>39794</v>
      </c>
      <c r="K14" s="44">
        <f t="shared" si="0"/>
        <v>74</v>
      </c>
      <c r="L14" s="265">
        <v>1.9</v>
      </c>
      <c r="M14" s="45">
        <f t="shared" si="1"/>
        <v>140.6</v>
      </c>
      <c r="N14" s="46" t="str">
        <f t="shared" si="2"/>
        <v>----</v>
      </c>
      <c r="P14" s="3"/>
      <c r="Q14" s="3"/>
    </row>
    <row r="15" spans="1:17" ht="15" customHeight="1" hidden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263"/>
      <c r="J15" s="264"/>
      <c r="K15" s="44">
        <f t="shared" si="0"/>
        <v>1</v>
      </c>
      <c r="L15" s="265"/>
      <c r="M15" s="45">
        <f t="shared" si="1"/>
        <v>0</v>
      </c>
      <c r="N15" s="46" t="str">
        <f t="shared" si="2"/>
        <v>----</v>
      </c>
      <c r="P15" s="3"/>
      <c r="Q15" s="3"/>
    </row>
    <row r="16" spans="1:17" ht="15" customHeight="1" hidden="1">
      <c r="A16" s="1"/>
      <c r="B16" s="2"/>
      <c r="C16" s="2"/>
      <c r="D16" s="41"/>
      <c r="E16" s="41"/>
      <c r="F16" s="42" t="s">
        <v>47</v>
      </c>
      <c r="G16" s="43">
        <v>0</v>
      </c>
      <c r="H16" s="1"/>
      <c r="I16" s="263"/>
      <c r="J16" s="264"/>
      <c r="K16" s="44">
        <f t="shared" si="0"/>
        <v>1</v>
      </c>
      <c r="L16" s="265"/>
      <c r="M16" s="45">
        <f t="shared" si="1"/>
        <v>0</v>
      </c>
      <c r="N16" s="46" t="str">
        <f t="shared" si="2"/>
        <v>----</v>
      </c>
      <c r="P16" s="3"/>
      <c r="Q16" s="3"/>
    </row>
    <row r="17" spans="1:17" ht="15" customHeight="1" hidden="1">
      <c r="A17" s="1"/>
      <c r="B17" s="2"/>
      <c r="C17" s="2"/>
      <c r="D17" s="41"/>
      <c r="E17" s="41"/>
      <c r="F17" s="42" t="s">
        <v>47</v>
      </c>
      <c r="G17" s="43">
        <v>0</v>
      </c>
      <c r="H17" s="1"/>
      <c r="I17" s="263"/>
      <c r="J17" s="264"/>
      <c r="K17" s="47">
        <f t="shared" si="0"/>
        <v>1</v>
      </c>
      <c r="L17" s="265"/>
      <c r="M17" s="45">
        <f t="shared" si="1"/>
        <v>0</v>
      </c>
      <c r="N17" s="48" t="str">
        <f t="shared" si="2"/>
        <v>----</v>
      </c>
      <c r="P17" s="3"/>
      <c r="Q17" s="3"/>
    </row>
    <row r="18" spans="1:17" ht="15" customHeight="1" hidden="1">
      <c r="A18" s="1"/>
      <c r="B18" s="2"/>
      <c r="C18" s="2"/>
      <c r="D18" s="41"/>
      <c r="E18" s="41"/>
      <c r="F18" s="42" t="s">
        <v>47</v>
      </c>
      <c r="G18" s="43">
        <v>0</v>
      </c>
      <c r="H18" s="1"/>
      <c r="I18" s="266"/>
      <c r="J18" s="267"/>
      <c r="K18" s="47">
        <f t="shared" si="0"/>
        <v>1</v>
      </c>
      <c r="L18" s="268"/>
      <c r="M18" s="45">
        <f t="shared" si="1"/>
        <v>0</v>
      </c>
      <c r="N18" s="49" t="str">
        <f t="shared" si="2"/>
        <v>----</v>
      </c>
      <c r="P18" s="3"/>
      <c r="Q18" s="3"/>
    </row>
    <row r="19" spans="1:17" ht="20.25" customHeight="1" thickBot="1">
      <c r="A19" s="1"/>
      <c r="B19" s="262" t="s">
        <v>363</v>
      </c>
      <c r="C19" s="262"/>
      <c r="D19" s="262"/>
      <c r="E19" s="262"/>
      <c r="F19" s="262"/>
      <c r="G19" s="262"/>
      <c r="H19" s="1"/>
      <c r="I19" s="50"/>
      <c r="J19" s="51"/>
      <c r="K19" s="52"/>
      <c r="L19" s="53"/>
      <c r="M19" s="54" t="s">
        <v>13</v>
      </c>
      <c r="N19" s="55" t="str">
        <f>IF(SUM(N13:N18)=0,"----",SUM((N13:N18)))</f>
        <v>----</v>
      </c>
      <c r="P19" s="3"/>
      <c r="Q19" s="3"/>
    </row>
    <row r="20" spans="1:17" ht="15" customHeight="1" thickBot="1">
      <c r="A20" s="1"/>
      <c r="B20" s="262"/>
      <c r="C20" s="262"/>
      <c r="D20" s="262"/>
      <c r="E20" s="262"/>
      <c r="F20" s="262"/>
      <c r="G20" s="262"/>
      <c r="H20" s="1"/>
      <c r="I20" s="20"/>
      <c r="J20" s="20"/>
      <c r="K20" s="21"/>
      <c r="L20" s="22"/>
      <c r="M20" s="23"/>
      <c r="N20" s="23"/>
      <c r="P20" s="3"/>
      <c r="Q20" s="3"/>
    </row>
    <row r="21" spans="1:17" s="12" customFormat="1" ht="25.5" customHeight="1">
      <c r="A21" s="5"/>
      <c r="B21" s="262"/>
      <c r="C21" s="262"/>
      <c r="D21" s="262"/>
      <c r="E21" s="262"/>
      <c r="F21" s="262"/>
      <c r="G21" s="262"/>
      <c r="H21" s="5"/>
      <c r="I21" s="24" t="s">
        <v>14</v>
      </c>
      <c r="J21" s="25"/>
      <c r="K21" s="25"/>
      <c r="L21" s="25"/>
      <c r="M21" s="25"/>
      <c r="N21" s="57"/>
      <c r="O21" s="11"/>
      <c r="P21" s="2"/>
      <c r="Q21" s="2"/>
    </row>
    <row r="22" spans="1:17" ht="27" customHeight="1">
      <c r="A22" s="1"/>
      <c r="B22" s="58" t="s">
        <v>15</v>
      </c>
      <c r="C22" s="59"/>
      <c r="D22" s="60"/>
      <c r="E22" s="60"/>
      <c r="F22" s="60"/>
      <c r="G22" s="61"/>
      <c r="H22" s="1"/>
      <c r="I22" s="175" t="s">
        <v>58</v>
      </c>
      <c r="J22" s="176"/>
      <c r="K22" s="176"/>
      <c r="L22" s="176"/>
      <c r="M22" s="176"/>
      <c r="N22" s="177"/>
      <c r="Q22" s="3"/>
    </row>
    <row r="23" spans="1:17" ht="12.75">
      <c r="A23" s="1"/>
      <c r="B23" s="62" t="s">
        <v>16</v>
      </c>
      <c r="D23" s="63"/>
      <c r="E23" s="63"/>
      <c r="F23" s="63"/>
      <c r="G23" s="64"/>
      <c r="H23" s="1"/>
      <c r="I23" s="178" t="str">
        <f>"For FAFSA filers, your Untaxed Income is ---&gt; $"&amp;ROUND(SUM(B25:B45),2)</f>
        <v>For FAFSA filers, your Untaxed Income is ---&gt; $1143.47</v>
      </c>
      <c r="J23" s="179"/>
      <c r="K23" s="179"/>
      <c r="L23" s="179"/>
      <c r="M23" s="179"/>
      <c r="N23" s="180"/>
      <c r="P23" s="3"/>
      <c r="Q23" s="3"/>
    </row>
    <row r="24" spans="1:16" s="71" customFormat="1" ht="45" customHeight="1">
      <c r="A24" s="65"/>
      <c r="B24" s="66" t="s">
        <v>17</v>
      </c>
      <c r="C24" s="67" t="s">
        <v>18</v>
      </c>
      <c r="D24" s="67" t="s">
        <v>19</v>
      </c>
      <c r="E24" s="67" t="s">
        <v>20</v>
      </c>
      <c r="F24" s="67" t="s">
        <v>21</v>
      </c>
      <c r="G24" s="67" t="s">
        <v>22</v>
      </c>
      <c r="H24" s="65"/>
      <c r="I24" s="68" t="s">
        <v>23</v>
      </c>
      <c r="J24" s="69" t="s">
        <v>24</v>
      </c>
      <c r="K24" s="36" t="s">
        <v>25</v>
      </c>
      <c r="L24" s="36" t="s">
        <v>26</v>
      </c>
      <c r="M24" s="36" t="s">
        <v>27</v>
      </c>
      <c r="N24" s="37" t="s">
        <v>56</v>
      </c>
      <c r="O24" s="70"/>
      <c r="P24" s="2"/>
    </row>
    <row r="25" spans="1:14" ht="15" customHeight="1">
      <c r="A25" s="1"/>
      <c r="B25" s="72" t="str">
        <f aca="true" t="shared" si="3" ref="B25:B45">IF($G25=0,"----",(K25-M25)*$G25)</f>
        <v>----</v>
      </c>
      <c r="C25" s="269">
        <v>0</v>
      </c>
      <c r="D25" s="269">
        <v>0</v>
      </c>
      <c r="E25" s="269">
        <v>0</v>
      </c>
      <c r="F25" s="269">
        <v>0</v>
      </c>
      <c r="G25" s="74">
        <f aca="true" t="shared" si="4" ref="G25:G45">C25+D25/29+E25/30+F25/31</f>
        <v>0</v>
      </c>
      <c r="H25" s="1"/>
      <c r="I25" s="270" t="s">
        <v>50</v>
      </c>
      <c r="J25" s="44" t="s">
        <v>82</v>
      </c>
      <c r="K25" s="271">
        <v>218.78</v>
      </c>
      <c r="L25" s="272">
        <v>0.4217</v>
      </c>
      <c r="M25" s="273">
        <f aca="true" t="shared" si="5" ref="M25:M45">ROUND(K25*L25,2)</f>
        <v>92.26</v>
      </c>
      <c r="N25" s="75" t="str">
        <f aca="true" t="shared" si="6" ref="N25:N45">IF($G25=0,"----",M25*$G25)</f>
        <v>----</v>
      </c>
    </row>
    <row r="26" spans="1:14" ht="15" customHeight="1">
      <c r="A26" s="1"/>
      <c r="B26" s="72" t="str">
        <f t="shared" si="3"/>
        <v>----</v>
      </c>
      <c r="C26" s="269">
        <v>0</v>
      </c>
      <c r="D26" s="269">
        <v>0</v>
      </c>
      <c r="E26" s="269">
        <v>0</v>
      </c>
      <c r="F26" s="269">
        <v>0</v>
      </c>
      <c r="G26" s="74">
        <f t="shared" si="4"/>
        <v>0</v>
      </c>
      <c r="H26" s="1"/>
      <c r="I26" s="274"/>
      <c r="J26" s="44" t="s">
        <v>129</v>
      </c>
      <c r="K26" s="271">
        <v>240.65</v>
      </c>
      <c r="L26" s="272">
        <v>0.3676</v>
      </c>
      <c r="M26" s="273">
        <f t="shared" si="5"/>
        <v>88.46</v>
      </c>
      <c r="N26" s="75" t="str">
        <f t="shared" si="6"/>
        <v>----</v>
      </c>
    </row>
    <row r="27" spans="1:14" ht="15" customHeight="1">
      <c r="A27" s="1"/>
      <c r="B27" s="72">
        <f t="shared" si="3"/>
        <v>1143.4748387096774</v>
      </c>
      <c r="C27" s="269">
        <v>9</v>
      </c>
      <c r="D27" s="269">
        <v>0</v>
      </c>
      <c r="E27" s="269">
        <v>0</v>
      </c>
      <c r="F27" s="269">
        <v>29</v>
      </c>
      <c r="G27" s="74">
        <f t="shared" si="4"/>
        <v>9.935483870967742</v>
      </c>
      <c r="H27" s="1"/>
      <c r="I27" s="270" t="s">
        <v>62</v>
      </c>
      <c r="J27" s="44" t="s">
        <v>82</v>
      </c>
      <c r="K27" s="271">
        <v>171.22</v>
      </c>
      <c r="L27" s="272">
        <v>0.3278</v>
      </c>
      <c r="M27" s="273">
        <f t="shared" si="5"/>
        <v>56.13</v>
      </c>
      <c r="N27" s="75">
        <f t="shared" si="6"/>
        <v>557.6787096774194</v>
      </c>
    </row>
    <row r="28" spans="1:14" ht="15" customHeight="1" thickBot="1">
      <c r="A28" s="1"/>
      <c r="B28" s="72" t="str">
        <f t="shared" si="3"/>
        <v>----</v>
      </c>
      <c r="C28" s="269"/>
      <c r="D28" s="269">
        <v>0</v>
      </c>
      <c r="E28" s="269">
        <v>0</v>
      </c>
      <c r="F28" s="269">
        <v>0</v>
      </c>
      <c r="G28" s="74">
        <f t="shared" si="4"/>
        <v>0</v>
      </c>
      <c r="H28" s="1"/>
      <c r="I28" s="274"/>
      <c r="J28" s="44" t="s">
        <v>129</v>
      </c>
      <c r="K28" s="271">
        <v>188.34</v>
      </c>
      <c r="L28" s="272">
        <v>0.3636</v>
      </c>
      <c r="M28" s="273">
        <f t="shared" si="5"/>
        <v>68.48</v>
      </c>
      <c r="N28" s="75" t="str">
        <f t="shared" si="6"/>
        <v>----</v>
      </c>
    </row>
    <row r="29" spans="1:14" ht="15" customHeight="1" hidden="1">
      <c r="A29" s="1"/>
      <c r="B29" s="72" t="str">
        <f t="shared" si="3"/>
        <v>----</v>
      </c>
      <c r="C29" s="269">
        <v>0</v>
      </c>
      <c r="D29" s="269">
        <v>0</v>
      </c>
      <c r="E29" s="269">
        <v>0</v>
      </c>
      <c r="F29" s="269">
        <v>0</v>
      </c>
      <c r="G29" s="74">
        <f t="shared" si="4"/>
        <v>0</v>
      </c>
      <c r="H29" s="1"/>
      <c r="I29" s="275"/>
      <c r="J29" s="44"/>
      <c r="K29" s="271"/>
      <c r="L29" s="272"/>
      <c r="M29" s="273">
        <f t="shared" si="5"/>
        <v>0</v>
      </c>
      <c r="N29" s="75" t="str">
        <f t="shared" si="6"/>
        <v>----</v>
      </c>
    </row>
    <row r="30" spans="1:14" ht="15" customHeight="1" hidden="1">
      <c r="A30" s="1"/>
      <c r="B30" s="72" t="str">
        <f t="shared" si="3"/>
        <v>----</v>
      </c>
      <c r="C30" s="269">
        <v>0</v>
      </c>
      <c r="D30" s="269">
        <v>0</v>
      </c>
      <c r="E30" s="269">
        <v>0</v>
      </c>
      <c r="F30" s="269">
        <v>0</v>
      </c>
      <c r="G30" s="74">
        <f t="shared" si="4"/>
        <v>0</v>
      </c>
      <c r="H30" s="1"/>
      <c r="I30" s="275"/>
      <c r="J30" s="44"/>
      <c r="K30" s="271"/>
      <c r="L30" s="272"/>
      <c r="M30" s="273">
        <f t="shared" si="5"/>
        <v>0</v>
      </c>
      <c r="N30" s="75" t="str">
        <f t="shared" si="6"/>
        <v>----</v>
      </c>
    </row>
    <row r="31" spans="1:14" ht="15" customHeight="1" hidden="1">
      <c r="A31" s="1"/>
      <c r="B31" s="72" t="str">
        <f t="shared" si="3"/>
        <v>----</v>
      </c>
      <c r="C31" s="269">
        <v>0</v>
      </c>
      <c r="D31" s="269">
        <v>0</v>
      </c>
      <c r="E31" s="269">
        <v>0</v>
      </c>
      <c r="F31" s="269">
        <v>0</v>
      </c>
      <c r="G31" s="74">
        <f t="shared" si="4"/>
        <v>0</v>
      </c>
      <c r="H31" s="1"/>
      <c r="I31" s="275"/>
      <c r="J31" s="44"/>
      <c r="K31" s="271"/>
      <c r="L31" s="272"/>
      <c r="M31" s="273">
        <f t="shared" si="5"/>
        <v>0</v>
      </c>
      <c r="N31" s="75" t="str">
        <f t="shared" si="6"/>
        <v>----</v>
      </c>
    </row>
    <row r="32" spans="1:14" ht="15" customHeight="1" hidden="1">
      <c r="A32" s="1"/>
      <c r="B32" s="72" t="str">
        <f t="shared" si="3"/>
        <v>----</v>
      </c>
      <c r="C32" s="269">
        <v>0</v>
      </c>
      <c r="D32" s="269">
        <v>0</v>
      </c>
      <c r="E32" s="269">
        <v>0</v>
      </c>
      <c r="F32" s="269">
        <v>0</v>
      </c>
      <c r="G32" s="74">
        <f t="shared" si="4"/>
        <v>0</v>
      </c>
      <c r="H32" s="1"/>
      <c r="I32" s="275"/>
      <c r="J32" s="44"/>
      <c r="K32" s="271"/>
      <c r="L32" s="272"/>
      <c r="M32" s="273">
        <f t="shared" si="5"/>
        <v>0</v>
      </c>
      <c r="N32" s="75" t="str">
        <f t="shared" si="6"/>
        <v>----</v>
      </c>
    </row>
    <row r="33" spans="1:14" ht="15" customHeight="1" hidden="1">
      <c r="A33" s="1"/>
      <c r="B33" s="72" t="str">
        <f t="shared" si="3"/>
        <v>----</v>
      </c>
      <c r="C33" s="269">
        <v>0</v>
      </c>
      <c r="D33" s="269">
        <v>0</v>
      </c>
      <c r="E33" s="269">
        <v>0</v>
      </c>
      <c r="F33" s="269">
        <v>0</v>
      </c>
      <c r="G33" s="74">
        <f t="shared" si="4"/>
        <v>0</v>
      </c>
      <c r="H33" s="1"/>
      <c r="I33" s="275"/>
      <c r="J33" s="44"/>
      <c r="K33" s="271"/>
      <c r="L33" s="272"/>
      <c r="M33" s="273">
        <f t="shared" si="5"/>
        <v>0</v>
      </c>
      <c r="N33" s="75" t="str">
        <f t="shared" si="6"/>
        <v>----</v>
      </c>
    </row>
    <row r="34" spans="1:14" ht="15" customHeight="1" hidden="1">
      <c r="A34" s="1"/>
      <c r="B34" s="72" t="str">
        <f t="shared" si="3"/>
        <v>----</v>
      </c>
      <c r="C34" s="269">
        <v>0</v>
      </c>
      <c r="D34" s="269">
        <v>0</v>
      </c>
      <c r="E34" s="269">
        <v>0</v>
      </c>
      <c r="F34" s="269">
        <v>0</v>
      </c>
      <c r="G34" s="74">
        <f t="shared" si="4"/>
        <v>0</v>
      </c>
      <c r="H34" s="1"/>
      <c r="I34" s="275"/>
      <c r="J34" s="44"/>
      <c r="K34" s="271"/>
      <c r="L34" s="272"/>
      <c r="M34" s="273">
        <f t="shared" si="5"/>
        <v>0</v>
      </c>
      <c r="N34" s="75" t="str">
        <f t="shared" si="6"/>
        <v>----</v>
      </c>
    </row>
    <row r="35" spans="1:14" ht="15" customHeight="1" hidden="1">
      <c r="A35" s="1"/>
      <c r="B35" s="72" t="str">
        <f t="shared" si="3"/>
        <v>----</v>
      </c>
      <c r="C35" s="269">
        <v>0</v>
      </c>
      <c r="D35" s="269">
        <v>0</v>
      </c>
      <c r="E35" s="269">
        <v>0</v>
      </c>
      <c r="F35" s="269">
        <v>0</v>
      </c>
      <c r="G35" s="74">
        <f t="shared" si="4"/>
        <v>0</v>
      </c>
      <c r="H35" s="1"/>
      <c r="I35" s="275"/>
      <c r="J35" s="44"/>
      <c r="K35" s="271"/>
      <c r="L35" s="272"/>
      <c r="M35" s="273">
        <f t="shared" si="5"/>
        <v>0</v>
      </c>
      <c r="N35" s="75" t="str">
        <f t="shared" si="6"/>
        <v>----</v>
      </c>
    </row>
    <row r="36" spans="1:14" ht="15" customHeight="1" hidden="1">
      <c r="A36" s="1"/>
      <c r="B36" s="72" t="str">
        <f t="shared" si="3"/>
        <v>----</v>
      </c>
      <c r="C36" s="269">
        <v>0</v>
      </c>
      <c r="D36" s="269">
        <v>0</v>
      </c>
      <c r="E36" s="269">
        <v>0</v>
      </c>
      <c r="F36" s="269">
        <v>0</v>
      </c>
      <c r="G36" s="74">
        <f t="shared" si="4"/>
        <v>0</v>
      </c>
      <c r="H36" s="1"/>
      <c r="I36" s="275"/>
      <c r="J36" s="44"/>
      <c r="K36" s="271"/>
      <c r="L36" s="272"/>
      <c r="M36" s="273">
        <f t="shared" si="5"/>
        <v>0</v>
      </c>
      <c r="N36" s="75" t="str">
        <f t="shared" si="6"/>
        <v>----</v>
      </c>
    </row>
    <row r="37" spans="1:14" ht="15" customHeight="1" hidden="1">
      <c r="A37" s="1"/>
      <c r="B37" s="72" t="str">
        <f t="shared" si="3"/>
        <v>----</v>
      </c>
      <c r="C37" s="269">
        <v>0</v>
      </c>
      <c r="D37" s="269">
        <v>0</v>
      </c>
      <c r="E37" s="269">
        <v>0</v>
      </c>
      <c r="F37" s="269">
        <v>0</v>
      </c>
      <c r="G37" s="74">
        <f t="shared" si="4"/>
        <v>0</v>
      </c>
      <c r="H37" s="1"/>
      <c r="I37" s="275"/>
      <c r="J37" s="44"/>
      <c r="K37" s="271"/>
      <c r="L37" s="272"/>
      <c r="M37" s="273">
        <f t="shared" si="5"/>
        <v>0</v>
      </c>
      <c r="N37" s="75" t="str">
        <f t="shared" si="6"/>
        <v>----</v>
      </c>
    </row>
    <row r="38" spans="1:14" ht="15" customHeight="1" hidden="1">
      <c r="A38" s="1"/>
      <c r="B38" s="72" t="str">
        <f t="shared" si="3"/>
        <v>----</v>
      </c>
      <c r="C38" s="269">
        <v>0</v>
      </c>
      <c r="D38" s="269">
        <v>0</v>
      </c>
      <c r="E38" s="269">
        <v>0</v>
      </c>
      <c r="F38" s="269">
        <v>0</v>
      </c>
      <c r="G38" s="74">
        <f t="shared" si="4"/>
        <v>0</v>
      </c>
      <c r="H38" s="1"/>
      <c r="I38" s="275"/>
      <c r="J38" s="44"/>
      <c r="K38" s="271"/>
      <c r="L38" s="272"/>
      <c r="M38" s="273">
        <f t="shared" si="5"/>
        <v>0</v>
      </c>
      <c r="N38" s="75" t="str">
        <f t="shared" si="6"/>
        <v>----</v>
      </c>
    </row>
    <row r="39" spans="1:14" ht="15" customHeight="1" hidden="1">
      <c r="A39" s="1"/>
      <c r="B39" s="72" t="str">
        <f t="shared" si="3"/>
        <v>----</v>
      </c>
      <c r="C39" s="269">
        <v>0</v>
      </c>
      <c r="D39" s="269">
        <v>0</v>
      </c>
      <c r="E39" s="269">
        <v>0</v>
      </c>
      <c r="F39" s="269">
        <v>0</v>
      </c>
      <c r="G39" s="74">
        <f t="shared" si="4"/>
        <v>0</v>
      </c>
      <c r="H39" s="1"/>
      <c r="I39" s="275"/>
      <c r="J39" s="44"/>
      <c r="K39" s="271"/>
      <c r="L39" s="272"/>
      <c r="M39" s="273">
        <f t="shared" si="5"/>
        <v>0</v>
      </c>
      <c r="N39" s="75" t="str">
        <f t="shared" si="6"/>
        <v>----</v>
      </c>
    </row>
    <row r="40" spans="1:14" ht="15" customHeight="1" hidden="1">
      <c r="A40" s="1"/>
      <c r="B40" s="72" t="str">
        <f t="shared" si="3"/>
        <v>----</v>
      </c>
      <c r="C40" s="269">
        <v>0</v>
      </c>
      <c r="D40" s="269">
        <v>0</v>
      </c>
      <c r="E40" s="269">
        <v>0</v>
      </c>
      <c r="F40" s="269">
        <v>0</v>
      </c>
      <c r="G40" s="74">
        <f t="shared" si="4"/>
        <v>0</v>
      </c>
      <c r="H40" s="1"/>
      <c r="I40" s="275"/>
      <c r="J40" s="44"/>
      <c r="K40" s="271"/>
      <c r="L40" s="272"/>
      <c r="M40" s="273">
        <f t="shared" si="5"/>
        <v>0</v>
      </c>
      <c r="N40" s="75" t="str">
        <f t="shared" si="6"/>
        <v>----</v>
      </c>
    </row>
    <row r="41" spans="1:14" ht="15" customHeight="1" hidden="1">
      <c r="A41" s="1"/>
      <c r="B41" s="72" t="str">
        <f t="shared" si="3"/>
        <v>----</v>
      </c>
      <c r="C41" s="269">
        <v>0</v>
      </c>
      <c r="D41" s="269">
        <v>0</v>
      </c>
      <c r="E41" s="269">
        <v>0</v>
      </c>
      <c r="F41" s="269">
        <v>0</v>
      </c>
      <c r="G41" s="74">
        <f t="shared" si="4"/>
        <v>0</v>
      </c>
      <c r="H41" s="1"/>
      <c r="I41" s="275"/>
      <c r="J41" s="44"/>
      <c r="K41" s="271"/>
      <c r="L41" s="272"/>
      <c r="M41" s="273">
        <f t="shared" si="5"/>
        <v>0</v>
      </c>
      <c r="N41" s="75" t="str">
        <f t="shared" si="6"/>
        <v>----</v>
      </c>
    </row>
    <row r="42" spans="1:14" ht="15" customHeight="1" hidden="1">
      <c r="A42" s="1"/>
      <c r="B42" s="72" t="str">
        <f t="shared" si="3"/>
        <v>----</v>
      </c>
      <c r="C42" s="269">
        <v>0</v>
      </c>
      <c r="D42" s="269">
        <v>0</v>
      </c>
      <c r="E42" s="269">
        <v>0</v>
      </c>
      <c r="F42" s="269">
        <v>0</v>
      </c>
      <c r="G42" s="74">
        <f t="shared" si="4"/>
        <v>0</v>
      </c>
      <c r="H42" s="1"/>
      <c r="I42" s="275"/>
      <c r="J42" s="44"/>
      <c r="K42" s="271"/>
      <c r="L42" s="272"/>
      <c r="M42" s="273">
        <f t="shared" si="5"/>
        <v>0</v>
      </c>
      <c r="N42" s="75" t="str">
        <f t="shared" si="6"/>
        <v>----</v>
      </c>
    </row>
    <row r="43" spans="1:14" ht="15" customHeight="1" hidden="1">
      <c r="A43" s="1"/>
      <c r="B43" s="72" t="str">
        <f t="shared" si="3"/>
        <v>----</v>
      </c>
      <c r="C43" s="269">
        <v>0</v>
      </c>
      <c r="D43" s="269">
        <v>0</v>
      </c>
      <c r="E43" s="269">
        <v>0</v>
      </c>
      <c r="F43" s="269">
        <v>0</v>
      </c>
      <c r="G43" s="74">
        <f t="shared" si="4"/>
        <v>0</v>
      </c>
      <c r="H43" s="1"/>
      <c r="I43" s="276"/>
      <c r="J43" s="47"/>
      <c r="K43" s="271"/>
      <c r="L43" s="272"/>
      <c r="M43" s="277">
        <f t="shared" si="5"/>
        <v>0</v>
      </c>
      <c r="N43" s="76" t="str">
        <f t="shared" si="6"/>
        <v>----</v>
      </c>
    </row>
    <row r="44" spans="1:14" ht="15" customHeight="1" hidden="1">
      <c r="A44" s="1"/>
      <c r="B44" s="72" t="str">
        <f t="shared" si="3"/>
        <v>----</v>
      </c>
      <c r="C44" s="269">
        <v>0</v>
      </c>
      <c r="D44" s="269">
        <v>0</v>
      </c>
      <c r="E44" s="269">
        <v>0</v>
      </c>
      <c r="F44" s="269">
        <v>0</v>
      </c>
      <c r="G44" s="74">
        <f t="shared" si="4"/>
        <v>0</v>
      </c>
      <c r="H44" s="1"/>
      <c r="I44" s="276"/>
      <c r="J44" s="47"/>
      <c r="K44" s="271"/>
      <c r="L44" s="272"/>
      <c r="M44" s="277">
        <f t="shared" si="5"/>
        <v>0</v>
      </c>
      <c r="N44" s="76" t="str">
        <f t="shared" si="6"/>
        <v>----</v>
      </c>
    </row>
    <row r="45" spans="1:14" ht="15" customHeight="1" hidden="1">
      <c r="A45" s="1"/>
      <c r="B45" s="72" t="str">
        <f t="shared" si="3"/>
        <v>----</v>
      </c>
      <c r="C45" s="269">
        <v>0</v>
      </c>
      <c r="D45" s="269">
        <v>0</v>
      </c>
      <c r="E45" s="269">
        <v>0</v>
      </c>
      <c r="F45" s="269">
        <v>0</v>
      </c>
      <c r="G45" s="74">
        <f t="shared" si="4"/>
        <v>0</v>
      </c>
      <c r="H45" s="1"/>
      <c r="I45" s="276"/>
      <c r="J45" s="47"/>
      <c r="K45" s="271"/>
      <c r="L45" s="272"/>
      <c r="M45" s="277">
        <f t="shared" si="5"/>
        <v>0</v>
      </c>
      <c r="N45" s="77" t="str">
        <f t="shared" si="6"/>
        <v>----</v>
      </c>
    </row>
    <row r="46" spans="1:16" ht="20.25" customHeight="1" thickBot="1">
      <c r="A46" s="1"/>
      <c r="B46" s="78">
        <f>SUM(B25:B45)</f>
        <v>1143.4748387096774</v>
      </c>
      <c r="C46" s="278" t="s">
        <v>353</v>
      </c>
      <c r="D46" s="79"/>
      <c r="E46" s="279"/>
      <c r="F46" s="79"/>
      <c r="G46" s="79"/>
      <c r="H46" s="1"/>
      <c r="I46" s="80"/>
      <c r="J46" s="52"/>
      <c r="K46" s="81"/>
      <c r="L46" s="82"/>
      <c r="M46" s="54" t="s">
        <v>29</v>
      </c>
      <c r="N46" s="83">
        <f>IF(SUM(N25:N45)=0,"----",SUM((N25:N45)))</f>
        <v>557.6787096774194</v>
      </c>
      <c r="P46" s="84"/>
    </row>
    <row r="47" spans="1:14" ht="15" customHeight="1" thickBot="1">
      <c r="A47" s="1"/>
      <c r="B47" s="280" t="s">
        <v>364</v>
      </c>
      <c r="C47" s="280"/>
      <c r="D47" s="280"/>
      <c r="E47" s="280"/>
      <c r="F47" s="280"/>
      <c r="G47" s="280"/>
      <c r="H47" s="1"/>
      <c r="I47" s="85"/>
      <c r="J47" s="21"/>
      <c r="K47" s="86"/>
      <c r="L47" s="87"/>
      <c r="M47" s="23"/>
      <c r="N47" s="23"/>
    </row>
    <row r="48" spans="1:17" ht="25.5" customHeight="1">
      <c r="A48" s="1"/>
      <c r="B48" s="280"/>
      <c r="C48" s="280"/>
      <c r="D48" s="280"/>
      <c r="E48" s="280"/>
      <c r="F48" s="280"/>
      <c r="G48" s="280"/>
      <c r="H48" s="1"/>
      <c r="I48" s="24" t="s">
        <v>30</v>
      </c>
      <c r="J48" s="25"/>
      <c r="K48" s="88"/>
      <c r="L48" s="89"/>
      <c r="M48" s="90" t="s">
        <v>31</v>
      </c>
      <c r="N48" s="26"/>
      <c r="P48" s="91"/>
      <c r="Q48" s="3"/>
    </row>
    <row r="49" spans="1:17" ht="28.5" customHeight="1">
      <c r="A49" s="1"/>
      <c r="B49" s="92" t="s">
        <v>32</v>
      </c>
      <c r="C49" s="93"/>
      <c r="D49" s="93"/>
      <c r="E49" s="94"/>
      <c r="F49" s="71"/>
      <c r="G49" s="95" t="s">
        <v>33</v>
      </c>
      <c r="H49" s="1"/>
      <c r="I49" s="175" t="s">
        <v>34</v>
      </c>
      <c r="J49" s="186"/>
      <c r="K49" s="186"/>
      <c r="L49" s="186"/>
      <c r="M49" s="184" t="s">
        <v>35</v>
      </c>
      <c r="N49" s="185"/>
      <c r="P49" s="3"/>
      <c r="Q49" s="3"/>
    </row>
    <row r="50" spans="1:17" ht="45" customHeight="1">
      <c r="A50" s="1"/>
      <c r="B50" s="67" t="s">
        <v>18</v>
      </c>
      <c r="C50" s="67" t="s">
        <v>36</v>
      </c>
      <c r="D50" s="67" t="s">
        <v>37</v>
      </c>
      <c r="E50" s="67" t="s">
        <v>38</v>
      </c>
      <c r="G50" s="67" t="s">
        <v>39</v>
      </c>
      <c r="H50" s="1"/>
      <c r="I50" s="96" t="s">
        <v>27</v>
      </c>
      <c r="J50" s="97" t="s">
        <v>56</v>
      </c>
      <c r="K50" s="3"/>
      <c r="L50" s="3"/>
      <c r="M50" s="36" t="s">
        <v>40</v>
      </c>
      <c r="N50" s="37" t="s">
        <v>56</v>
      </c>
      <c r="Q50" s="3"/>
    </row>
    <row r="51" spans="1:17" ht="15" customHeight="1" thickBot="1">
      <c r="A51" s="1"/>
      <c r="B51" s="98">
        <f>SUM(C25:C45)</f>
        <v>9</v>
      </c>
      <c r="C51" s="98">
        <f>COUNTIF(D25:F45,"&gt;=16")</f>
        <v>1</v>
      </c>
      <c r="D51" s="98">
        <f>(COUNTIF(D25:F45,"&gt;0")-C51)/2</f>
        <v>0</v>
      </c>
      <c r="E51" s="98">
        <f>SUM(B51:D51)</f>
        <v>10</v>
      </c>
      <c r="G51" s="99">
        <v>0</v>
      </c>
      <c r="H51" s="1"/>
      <c r="I51" s="100">
        <v>24</v>
      </c>
      <c r="J51" s="101">
        <f>IF(E51*I51=0,"----",E51*I51)</f>
        <v>240</v>
      </c>
      <c r="K51" s="3"/>
      <c r="L51" s="3"/>
      <c r="M51" s="102">
        <v>12</v>
      </c>
      <c r="N51" s="76" t="str">
        <f>IF($G51=0,"----",M51*$G51)</f>
        <v>----</v>
      </c>
      <c r="Q51" s="3"/>
    </row>
    <row r="52" spans="1:17" ht="15" customHeight="1" thickBot="1">
      <c r="A52" s="1"/>
      <c r="B52" s="12"/>
      <c r="C52" s="12"/>
      <c r="D52" s="12"/>
      <c r="E52" s="103"/>
      <c r="F52" s="12"/>
      <c r="G52" s="12"/>
      <c r="H52" s="1"/>
      <c r="I52" s="104"/>
      <c r="J52" s="105"/>
      <c r="K52" s="105"/>
      <c r="L52" s="106"/>
      <c r="M52" s="54" t="s">
        <v>41</v>
      </c>
      <c r="N52" s="83">
        <f>IF(SUM(J51,N51)=0,"----",SUM((J51,N51)))</f>
        <v>240</v>
      </c>
      <c r="Q52" s="3"/>
    </row>
    <row r="53" spans="1:15" s="12" customFormat="1" ht="15" customHeight="1">
      <c r="A53" s="5"/>
      <c r="B53" s="280" t="s">
        <v>355</v>
      </c>
      <c r="C53" s="280"/>
      <c r="D53" s="280"/>
      <c r="E53" s="280"/>
      <c r="F53" s="280"/>
      <c r="G53" s="280"/>
      <c r="H53" s="5"/>
      <c r="I53" s="2"/>
      <c r="J53" s="2"/>
      <c r="K53" s="2"/>
      <c r="L53" s="2"/>
      <c r="M53" s="2"/>
      <c r="N53" s="2"/>
      <c r="O53" s="11"/>
    </row>
    <row r="54" spans="1:15" s="12" customFormat="1" ht="20.25" customHeight="1">
      <c r="A54" s="5"/>
      <c r="B54" s="280"/>
      <c r="C54" s="280"/>
      <c r="D54" s="280"/>
      <c r="E54" s="280"/>
      <c r="F54" s="280"/>
      <c r="G54" s="280"/>
      <c r="H54" s="5"/>
      <c r="I54" s="2"/>
      <c r="J54" s="2"/>
      <c r="K54" s="2"/>
      <c r="L54" s="2"/>
      <c r="M54" s="23" t="s">
        <v>42</v>
      </c>
      <c r="N54" s="107">
        <f>SUM(N19,N46,N52)</f>
        <v>797.6787096774194</v>
      </c>
      <c r="O54" s="11"/>
    </row>
    <row r="55" spans="1:14" ht="15.75" thickBot="1">
      <c r="A55" s="1"/>
      <c r="B55" s="281"/>
      <c r="C55" s="281"/>
      <c r="D55" s="281"/>
      <c r="E55" s="281"/>
      <c r="F55" s="281"/>
      <c r="G55" s="281"/>
      <c r="H55" s="1"/>
      <c r="M55" s="23" t="s">
        <v>43</v>
      </c>
      <c r="N55" s="107">
        <f>IF(G57=0,"",G57)</f>
        <v>2460.48</v>
      </c>
    </row>
    <row r="56" spans="1:14" ht="19.5" customHeight="1" thickBot="1">
      <c r="A56" s="1"/>
      <c r="B56" s="108" t="s">
        <v>44</v>
      </c>
      <c r="C56" s="109"/>
      <c r="D56" s="109"/>
      <c r="E56" s="109"/>
      <c r="F56" s="109"/>
      <c r="G56" s="110"/>
      <c r="H56" s="1"/>
      <c r="M56" s="111" t="s">
        <v>54</v>
      </c>
      <c r="N56" s="112">
        <f>IF(G57=0,"",SUM(N54:N55))</f>
        <v>3258.158709677419</v>
      </c>
    </row>
    <row r="57" spans="1:14" ht="19.5" customHeight="1">
      <c r="A57" s="1"/>
      <c r="B57" s="183" t="s">
        <v>45</v>
      </c>
      <c r="C57" s="183"/>
      <c r="D57" s="183"/>
      <c r="E57" s="183"/>
      <c r="F57" s="183"/>
      <c r="G57" s="113">
        <v>2460.48</v>
      </c>
      <c r="H57" s="1"/>
      <c r="M57" s="111"/>
      <c r="N57" s="114" t="s">
        <v>356</v>
      </c>
    </row>
    <row r="58" spans="1:14" ht="19.5" customHeight="1">
      <c r="A58" s="1"/>
      <c r="B58" s="1"/>
      <c r="C58" s="1"/>
      <c r="D58" s="1"/>
      <c r="E58" s="1"/>
      <c r="F58" s="1"/>
      <c r="G58" s="1"/>
      <c r="H58" s="1"/>
      <c r="I58" s="115" t="s">
        <v>46</v>
      </c>
      <c r="J58" s="29"/>
      <c r="K58" s="29"/>
      <c r="L58" s="29"/>
      <c r="M58" s="29"/>
      <c r="N58" s="29"/>
    </row>
    <row r="59" spans="1:17" ht="12.75">
      <c r="A59" s="2"/>
      <c r="B59" s="2"/>
      <c r="C59" s="2"/>
      <c r="D59" s="2"/>
      <c r="E59" s="2"/>
      <c r="F59" s="2"/>
      <c r="H59" s="2"/>
      <c r="P59" s="116"/>
      <c r="Q59" s="116"/>
    </row>
    <row r="60" ht="28.5" customHeight="1">
      <c r="H60" s="2"/>
    </row>
    <row r="61" ht="12.75">
      <c r="H61" s="2"/>
    </row>
    <row r="80" spans="2:7" ht="12.75">
      <c r="B80" s="11"/>
      <c r="C80" s="11"/>
      <c r="G80" s="12"/>
    </row>
  </sheetData>
  <sheetProtection/>
  <mergeCells count="21">
    <mergeCell ref="B53:G55"/>
    <mergeCell ref="B57:F57"/>
    <mergeCell ref="I22:N22"/>
    <mergeCell ref="I23:N23"/>
    <mergeCell ref="I25:I26"/>
    <mergeCell ref="I27:I28"/>
    <mergeCell ref="B47:G48"/>
    <mergeCell ref="I49:L49"/>
    <mergeCell ref="M49:N49"/>
    <mergeCell ref="C8:D8"/>
    <mergeCell ref="E8:G8"/>
    <mergeCell ref="B9:G9"/>
    <mergeCell ref="B10:G11"/>
    <mergeCell ref="I11:N11"/>
    <mergeCell ref="B19:G21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Mozambique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199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40090</v>
      </c>
      <c r="J13" s="119">
        <v>40159</v>
      </c>
      <c r="K13" s="44">
        <f>+J13-I13+1</f>
        <v>70</v>
      </c>
      <c r="L13" s="129">
        <v>3.27</v>
      </c>
      <c r="M13" s="130">
        <f>ROUND(K13*L13,2)</f>
        <v>228.9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188</v>
      </c>
      <c r="K20" s="125">
        <v>231.38</v>
      </c>
      <c r="L20" s="122">
        <v>0.3</v>
      </c>
      <c r="M20" s="126">
        <f>ROUND(K20*L20,2)</f>
        <v>69.41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230</v>
      </c>
      <c r="K21" s="125">
        <v>254.52</v>
      </c>
      <c r="L21" s="122">
        <v>0.3</v>
      </c>
      <c r="M21" s="126">
        <f>ROUND(K21*L21,2)</f>
        <v>76.36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33:F33"/>
    <mergeCell ref="I11:N11"/>
    <mergeCell ref="I17:N17"/>
    <mergeCell ref="I18:N18"/>
    <mergeCell ref="I25:L25"/>
    <mergeCell ref="M25:N25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Namibia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68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39814</v>
      </c>
      <c r="J13" s="119">
        <v>39819</v>
      </c>
      <c r="K13" s="44">
        <f>+J13-I13+1</f>
        <v>6</v>
      </c>
      <c r="L13" s="129">
        <v>2.67</v>
      </c>
      <c r="M13" s="130">
        <f>ROUND(K13*L13,2)</f>
        <v>16.02</v>
      </c>
      <c r="N13" s="46" t="str">
        <f>IF($G13=0,"----",M13)</f>
        <v>----</v>
      </c>
      <c r="P13" s="3"/>
      <c r="Q13" s="3"/>
    </row>
    <row r="14" spans="1:17" ht="15" customHeigh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39866</v>
      </c>
      <c r="J14" s="119">
        <v>39921</v>
      </c>
      <c r="K14" s="44">
        <f>+J14-I14+1</f>
        <v>56</v>
      </c>
      <c r="L14" s="129">
        <v>2.67</v>
      </c>
      <c r="M14" s="130">
        <f>ROUND(K14*L14,2)</f>
        <v>149.52</v>
      </c>
      <c r="N14" s="46" t="str">
        <f>IF($G14=0,"----",M14)</f>
        <v>----</v>
      </c>
      <c r="P14" s="3"/>
      <c r="Q14" s="3"/>
    </row>
    <row r="15" spans="1:17" ht="15" customHeight="1" thickBot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118">
        <v>40046</v>
      </c>
      <c r="J15" s="119">
        <v>40102</v>
      </c>
      <c r="K15" s="44">
        <f>+J15-I15+1</f>
        <v>57</v>
      </c>
      <c r="L15" s="129">
        <v>2.67</v>
      </c>
      <c r="M15" s="130">
        <f>ROUND(K15*L15,2)</f>
        <v>152.19</v>
      </c>
      <c r="N15" s="46" t="str">
        <f>IF($G15=0,"----",M15)</f>
        <v>----</v>
      </c>
      <c r="P15" s="3"/>
      <c r="Q15" s="3"/>
    </row>
    <row r="16" spans="1:17" ht="20.25" customHeight="1" thickBot="1">
      <c r="A16" s="1"/>
      <c r="B16" s="2"/>
      <c r="C16" s="2"/>
      <c r="D16" s="2"/>
      <c r="E16" s="2"/>
      <c r="F16" s="2"/>
      <c r="H16" s="1"/>
      <c r="I16" s="50"/>
      <c r="J16" s="51"/>
      <c r="K16" s="52"/>
      <c r="L16" s="53"/>
      <c r="M16" s="54" t="s">
        <v>13</v>
      </c>
      <c r="N16" s="55" t="str">
        <f>IF(SUM(N13:N15)=0,"----",SUM((N13:N15)))</f>
        <v>----</v>
      </c>
      <c r="P16" s="3"/>
      <c r="Q16" s="3"/>
    </row>
    <row r="17" spans="1:17" ht="15" customHeight="1" thickBot="1">
      <c r="A17" s="1"/>
      <c r="B17" s="2"/>
      <c r="C17" s="2"/>
      <c r="D17" s="2"/>
      <c r="E17" s="2"/>
      <c r="F17" s="2"/>
      <c r="H17" s="1"/>
      <c r="I17" s="20"/>
      <c r="J17" s="20"/>
      <c r="K17" s="21"/>
      <c r="L17" s="22"/>
      <c r="M17" s="23"/>
      <c r="N17" s="23"/>
      <c r="P17" s="3"/>
      <c r="Q17" s="3"/>
    </row>
    <row r="18" spans="1:17" s="12" customFormat="1" ht="25.5" customHeight="1">
      <c r="A18" s="5"/>
      <c r="B18" s="56"/>
      <c r="C18" s="56"/>
      <c r="D18" s="56"/>
      <c r="E18" s="56"/>
      <c r="F18" s="56"/>
      <c r="H18" s="5"/>
      <c r="I18" s="24" t="s">
        <v>14</v>
      </c>
      <c r="J18" s="25"/>
      <c r="K18" s="25"/>
      <c r="L18" s="25"/>
      <c r="M18" s="25"/>
      <c r="N18" s="57"/>
      <c r="O18" s="11"/>
      <c r="P18" s="2"/>
      <c r="Q18" s="2"/>
    </row>
    <row r="19" spans="1:17" ht="27" customHeight="1">
      <c r="A19" s="1"/>
      <c r="B19" s="58" t="s">
        <v>15</v>
      </c>
      <c r="C19" s="59"/>
      <c r="D19" s="60"/>
      <c r="E19" s="60"/>
      <c r="F19" s="60"/>
      <c r="G19" s="61"/>
      <c r="H19" s="1"/>
      <c r="I19" s="175" t="s">
        <v>58</v>
      </c>
      <c r="J19" s="176"/>
      <c r="K19" s="176"/>
      <c r="L19" s="176"/>
      <c r="M19" s="176"/>
      <c r="N19" s="177"/>
      <c r="Q19" s="3"/>
    </row>
    <row r="20" spans="1:17" ht="12.75">
      <c r="A20" s="1"/>
      <c r="B20" s="62" t="s">
        <v>16</v>
      </c>
      <c r="D20" s="63"/>
      <c r="E20" s="63"/>
      <c r="F20" s="63"/>
      <c r="G20" s="64"/>
      <c r="H20" s="1"/>
      <c r="I20" s="178" t="str">
        <f>"For FAFSA filers, your Untaxed Income is ---&gt; $"&amp;ROUND(SUM(B22:B23),2)</f>
        <v>For FAFSA filers, your Untaxed Income is ---&gt; $0</v>
      </c>
      <c r="J20" s="179"/>
      <c r="K20" s="179"/>
      <c r="L20" s="179"/>
      <c r="M20" s="179"/>
      <c r="N20" s="180"/>
      <c r="P20" s="3"/>
      <c r="Q20" s="3"/>
    </row>
    <row r="21" spans="1:16" s="71" customFormat="1" ht="45" customHeight="1">
      <c r="A21" s="65"/>
      <c r="B21" s="66" t="s">
        <v>17</v>
      </c>
      <c r="C21" s="67" t="s">
        <v>18</v>
      </c>
      <c r="D21" s="67" t="s">
        <v>19</v>
      </c>
      <c r="E21" s="67" t="s">
        <v>20</v>
      </c>
      <c r="F21" s="67" t="s">
        <v>21</v>
      </c>
      <c r="G21" s="67" t="s">
        <v>22</v>
      </c>
      <c r="H21" s="65"/>
      <c r="I21" s="68" t="s">
        <v>23</v>
      </c>
      <c r="J21" s="69" t="s">
        <v>24</v>
      </c>
      <c r="K21" s="36" t="s">
        <v>25</v>
      </c>
      <c r="L21" s="36" t="s">
        <v>26</v>
      </c>
      <c r="M21" s="36" t="s">
        <v>27</v>
      </c>
      <c r="N21" s="37" t="s">
        <v>56</v>
      </c>
      <c r="O21" s="70"/>
      <c r="P21" s="2"/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64</v>
      </c>
      <c r="J22" s="121" t="s">
        <v>51</v>
      </c>
      <c r="K22" s="125">
        <v>218.2</v>
      </c>
      <c r="L22" s="122">
        <v>0.33</v>
      </c>
      <c r="M22" s="126">
        <f>ROUND(K22*L22,2)</f>
        <v>72.01</v>
      </c>
      <c r="N22" s="75" t="str">
        <f>IF($G22=0,"----",M22*$G22)</f>
        <v>----</v>
      </c>
    </row>
    <row r="23" spans="1:14" ht="15" customHeight="1" thickBo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64</v>
      </c>
      <c r="J23" s="121" t="s">
        <v>136</v>
      </c>
      <c r="K23" s="125">
        <v>240.22</v>
      </c>
      <c r="L23" s="122">
        <v>0.0833</v>
      </c>
      <c r="M23" s="126">
        <f>ROUND(K23*L23,2)</f>
        <v>20.01</v>
      </c>
      <c r="N23" s="75" t="str">
        <f>IF($G23=0,"----",M23*$G23)</f>
        <v>----</v>
      </c>
    </row>
    <row r="24" spans="1:16" ht="20.25" customHeight="1" thickBot="1">
      <c r="A24" s="1"/>
      <c r="B24" s="78">
        <f>SUM(B22:B23)</f>
        <v>0</v>
      </c>
      <c r="C24" s="79"/>
      <c r="D24" s="79"/>
      <c r="E24" s="79"/>
      <c r="F24" s="79"/>
      <c r="G24" s="79"/>
      <c r="H24" s="1"/>
      <c r="I24" s="80"/>
      <c r="J24" s="52"/>
      <c r="K24" s="81"/>
      <c r="L24" s="82"/>
      <c r="M24" s="54" t="s">
        <v>29</v>
      </c>
      <c r="N24" s="83" t="str">
        <f>IF(SUM(N22:N23)=0,"----",SUM((N22:N23)))</f>
        <v>----</v>
      </c>
      <c r="P24" s="84"/>
    </row>
    <row r="25" spans="1:14" ht="15" customHeight="1" thickBot="1">
      <c r="A25" s="1"/>
      <c r="B25" s="79"/>
      <c r="C25" s="79"/>
      <c r="D25" s="79"/>
      <c r="E25" s="79"/>
      <c r="F25" s="79"/>
      <c r="H25" s="1"/>
      <c r="I25" s="85"/>
      <c r="J25" s="21"/>
      <c r="K25" s="86"/>
      <c r="L25" s="87"/>
      <c r="M25" s="23"/>
      <c r="N25" s="23"/>
    </row>
    <row r="26" spans="1:17" ht="25.5" customHeight="1">
      <c r="A26" s="1"/>
      <c r="B26" s="71"/>
      <c r="C26" s="2"/>
      <c r="D26" s="2"/>
      <c r="E26" s="2"/>
      <c r="F26" s="71"/>
      <c r="H26" s="1"/>
      <c r="I26" s="24" t="s">
        <v>30</v>
      </c>
      <c r="J26" s="25"/>
      <c r="K26" s="88"/>
      <c r="L26" s="89"/>
      <c r="M26" s="90" t="s">
        <v>31</v>
      </c>
      <c r="N26" s="26"/>
      <c r="P26" s="91"/>
      <c r="Q26" s="3"/>
    </row>
    <row r="27" spans="1:17" ht="28.5" customHeight="1">
      <c r="A27" s="1"/>
      <c r="B27" s="92" t="s">
        <v>32</v>
      </c>
      <c r="C27" s="93"/>
      <c r="D27" s="93"/>
      <c r="E27" s="94"/>
      <c r="F27" s="71"/>
      <c r="G27" s="95" t="s">
        <v>33</v>
      </c>
      <c r="H27" s="1"/>
      <c r="I27" s="175" t="s">
        <v>34</v>
      </c>
      <c r="J27" s="186"/>
      <c r="K27" s="186"/>
      <c r="L27" s="186"/>
      <c r="M27" s="184" t="s">
        <v>35</v>
      </c>
      <c r="N27" s="185"/>
      <c r="P27" s="3"/>
      <c r="Q27" s="3"/>
    </row>
    <row r="28" spans="1:17" ht="45" customHeight="1">
      <c r="A28" s="1"/>
      <c r="B28" s="67" t="s">
        <v>18</v>
      </c>
      <c r="C28" s="67" t="s">
        <v>36</v>
      </c>
      <c r="D28" s="67" t="s">
        <v>37</v>
      </c>
      <c r="E28" s="67" t="s">
        <v>38</v>
      </c>
      <c r="G28" s="67" t="s">
        <v>39</v>
      </c>
      <c r="H28" s="1"/>
      <c r="I28" s="96" t="s">
        <v>27</v>
      </c>
      <c r="J28" s="97" t="s">
        <v>56</v>
      </c>
      <c r="K28" s="3"/>
      <c r="L28" s="3"/>
      <c r="M28" s="36" t="s">
        <v>40</v>
      </c>
      <c r="N28" s="37" t="s">
        <v>56</v>
      </c>
      <c r="Q28" s="3"/>
    </row>
    <row r="29" spans="1:17" ht="15" customHeight="1" thickBot="1">
      <c r="A29" s="1"/>
      <c r="B29" s="98">
        <f>SUM(C22:C23)</f>
        <v>0</v>
      </c>
      <c r="C29" s="98">
        <f>COUNTIF(D22:F23,"&gt;=16")</f>
        <v>0</v>
      </c>
      <c r="D29" s="98">
        <f>(COUNTIF(D22:F23,"&gt;0")-C29)/2</f>
        <v>0</v>
      </c>
      <c r="E29" s="98">
        <f>SUM(B29:D29)</f>
        <v>0</v>
      </c>
      <c r="G29" s="99">
        <v>0</v>
      </c>
      <c r="H29" s="1"/>
      <c r="I29" s="100">
        <v>24</v>
      </c>
      <c r="J29" s="101" t="str">
        <f>IF(E29*I29=0,"----",E29*I29)</f>
        <v>----</v>
      </c>
      <c r="K29" s="3"/>
      <c r="L29" s="3"/>
      <c r="M29" s="102">
        <v>12</v>
      </c>
      <c r="N29" s="76" t="str">
        <f>IF($G29=0,"----",M29*$G29)</f>
        <v>----</v>
      </c>
      <c r="Q29" s="3"/>
    </row>
    <row r="30" spans="1:17" ht="15" customHeight="1" thickBot="1">
      <c r="A30" s="1"/>
      <c r="B30" s="12"/>
      <c r="C30" s="12"/>
      <c r="D30" s="12"/>
      <c r="E30" s="103"/>
      <c r="F30" s="12"/>
      <c r="G30" s="12"/>
      <c r="H30" s="1"/>
      <c r="I30" s="104"/>
      <c r="J30" s="105"/>
      <c r="K30" s="105"/>
      <c r="L30" s="106"/>
      <c r="M30" s="54" t="s">
        <v>41</v>
      </c>
      <c r="N30" s="83" t="str">
        <f>IF(SUM(J29,N29)=0,"----",SUM((J29,N29)))</f>
        <v>----</v>
      </c>
      <c r="Q30" s="3"/>
    </row>
    <row r="31" spans="1:15" s="12" customFormat="1" ht="15" customHeight="1">
      <c r="A31" s="5"/>
      <c r="E31" s="2"/>
      <c r="F31" s="2"/>
      <c r="H31" s="5"/>
      <c r="I31" s="2"/>
      <c r="J31" s="2"/>
      <c r="K31" s="2"/>
      <c r="L31" s="2"/>
      <c r="M31" s="2"/>
      <c r="N31" s="2"/>
      <c r="O31" s="11"/>
    </row>
    <row r="32" spans="1:15" s="12" customFormat="1" ht="20.25" customHeight="1">
      <c r="A32" s="5"/>
      <c r="H32" s="5"/>
      <c r="I32" s="2"/>
      <c r="J32" s="2"/>
      <c r="K32" s="2"/>
      <c r="L32" s="2"/>
      <c r="M32" s="23" t="s">
        <v>42</v>
      </c>
      <c r="N32" s="107">
        <f>SUM(N16,N24,N30)</f>
        <v>0</v>
      </c>
      <c r="O32" s="11"/>
    </row>
    <row r="33" spans="1:14" ht="15.75" thickBot="1">
      <c r="A33" s="1"/>
      <c r="B33" s="2"/>
      <c r="C33" s="2"/>
      <c r="D33" s="2"/>
      <c r="E33" s="2"/>
      <c r="F33" s="2"/>
      <c r="H33" s="1"/>
      <c r="M33" s="23" t="s">
        <v>43</v>
      </c>
      <c r="N33" s="107">
        <f>IF(G35=0,"",G35)</f>
      </c>
    </row>
    <row r="34" spans="1:14" ht="19.5" customHeight="1" thickBot="1">
      <c r="A34" s="1"/>
      <c r="B34" s="108" t="s">
        <v>44</v>
      </c>
      <c r="C34" s="109"/>
      <c r="D34" s="109"/>
      <c r="E34" s="109"/>
      <c r="F34" s="109"/>
      <c r="G34" s="110"/>
      <c r="H34" s="1"/>
      <c r="M34" s="111" t="s">
        <v>54</v>
      </c>
      <c r="N34" s="112">
        <f>IF(G35=0,"",SUM(N32:N33))</f>
      </c>
    </row>
    <row r="35" spans="1:14" ht="19.5" customHeight="1">
      <c r="A35" s="1"/>
      <c r="B35" s="183" t="s">
        <v>45</v>
      </c>
      <c r="C35" s="183"/>
      <c r="D35" s="183"/>
      <c r="E35" s="183"/>
      <c r="F35" s="183"/>
      <c r="G35" s="113">
        <v>0</v>
      </c>
      <c r="H35" s="1"/>
      <c r="M35" s="111"/>
      <c r="N35" s="114" t="s">
        <v>55</v>
      </c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15" t="s">
        <v>46</v>
      </c>
      <c r="J36" s="29"/>
      <c r="K36" s="29"/>
      <c r="L36" s="29"/>
      <c r="M36" s="29"/>
      <c r="N36" s="29"/>
    </row>
    <row r="37" spans="1:17" ht="12.75">
      <c r="A37" s="2"/>
      <c r="B37" s="2"/>
      <c r="C37" s="2"/>
      <c r="D37" s="2"/>
      <c r="E37" s="2"/>
      <c r="F37" s="2"/>
      <c r="H37" s="2"/>
      <c r="P37" s="116"/>
      <c r="Q37" s="116"/>
    </row>
    <row r="38" ht="28.5" customHeight="1">
      <c r="H38" s="2"/>
    </row>
    <row r="39" ht="12.75">
      <c r="H39" s="2"/>
    </row>
    <row r="58" spans="2:7" ht="12.75">
      <c r="B58" s="11"/>
      <c r="C58" s="11"/>
      <c r="G58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5:F35"/>
    <mergeCell ref="I11:N11"/>
    <mergeCell ref="I19:N19"/>
    <mergeCell ref="I20:N20"/>
    <mergeCell ref="I27:L27"/>
    <mergeCell ref="M27:N27"/>
  </mergeCells>
  <printOptions/>
  <pageMargins left="0.75" right="0.75" top="1" bottom="1" header="0.5" footer="0.5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</sheetPr>
  <dimension ref="A1:Q5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Nicaragua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180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39835</v>
      </c>
      <c r="J13" s="119">
        <v>39917</v>
      </c>
      <c r="K13" s="44">
        <f>+J13-I13+1</f>
        <v>83</v>
      </c>
      <c r="L13" s="129">
        <v>1.84</v>
      </c>
      <c r="M13" s="130">
        <f>ROUND(K13*L13,2)</f>
        <v>152.72</v>
      </c>
      <c r="N13" s="46" t="str">
        <f>IF($G13=0,"----",M13)</f>
        <v>----</v>
      </c>
      <c r="P13" s="3"/>
      <c r="Q13" s="3"/>
    </row>
    <row r="14" spans="1:17" ht="15" customHeigh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39946</v>
      </c>
      <c r="J14" s="119">
        <v>40025</v>
      </c>
      <c r="K14" s="44">
        <f>+J14-I14+1</f>
        <v>80</v>
      </c>
      <c r="L14" s="129">
        <v>1.84</v>
      </c>
      <c r="M14" s="130">
        <f>ROUND(K14*L14,2)</f>
        <v>147.2</v>
      </c>
      <c r="N14" s="46" t="str">
        <f>IF($G14=0,"----",M14)</f>
        <v>----</v>
      </c>
      <c r="P14" s="3"/>
      <c r="Q14" s="3"/>
    </row>
    <row r="15" spans="1:17" ht="15" customHeight="1" thickBot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118">
        <v>40060</v>
      </c>
      <c r="J15" s="119">
        <v>40140</v>
      </c>
      <c r="K15" s="44">
        <f>+J15-I15+1</f>
        <v>81</v>
      </c>
      <c r="L15" s="129">
        <v>1.84</v>
      </c>
      <c r="M15" s="130">
        <f>ROUND(K15*L15,2)</f>
        <v>149.04</v>
      </c>
      <c r="N15" s="46" t="str">
        <f>IF($G15=0,"----",M15)</f>
        <v>----</v>
      </c>
      <c r="P15" s="3"/>
      <c r="Q15" s="3"/>
    </row>
    <row r="16" spans="1:17" ht="20.25" customHeight="1" thickBot="1">
      <c r="A16" s="1"/>
      <c r="B16" s="2"/>
      <c r="C16" s="2"/>
      <c r="D16" s="2"/>
      <c r="E16" s="2"/>
      <c r="F16" s="2"/>
      <c r="H16" s="1"/>
      <c r="I16" s="50"/>
      <c r="J16" s="51"/>
      <c r="K16" s="52"/>
      <c r="L16" s="53"/>
      <c r="M16" s="54" t="s">
        <v>13</v>
      </c>
      <c r="N16" s="55" t="str">
        <f>IF(SUM(N13:N15)=0,"----",SUM((N13:N15)))</f>
        <v>----</v>
      </c>
      <c r="P16" s="3"/>
      <c r="Q16" s="3"/>
    </row>
    <row r="17" spans="1:17" ht="15" customHeight="1" thickBot="1">
      <c r="A17" s="1"/>
      <c r="B17" s="2"/>
      <c r="C17" s="2"/>
      <c r="D17" s="2"/>
      <c r="E17" s="2"/>
      <c r="F17" s="2"/>
      <c r="H17" s="1"/>
      <c r="I17" s="20"/>
      <c r="J17" s="20"/>
      <c r="K17" s="21"/>
      <c r="L17" s="22"/>
      <c r="M17" s="23"/>
      <c r="N17" s="23"/>
      <c r="P17" s="3"/>
      <c r="Q17" s="3"/>
    </row>
    <row r="18" spans="1:17" s="12" customFormat="1" ht="25.5" customHeight="1">
      <c r="A18" s="5"/>
      <c r="B18" s="56"/>
      <c r="C18" s="56"/>
      <c r="D18" s="56"/>
      <c r="E18" s="56"/>
      <c r="F18" s="56"/>
      <c r="H18" s="5"/>
      <c r="I18" s="24" t="s">
        <v>14</v>
      </c>
      <c r="J18" s="25"/>
      <c r="K18" s="25"/>
      <c r="L18" s="25"/>
      <c r="M18" s="25"/>
      <c r="N18" s="57"/>
      <c r="O18" s="11"/>
      <c r="P18" s="2"/>
      <c r="Q18" s="2"/>
    </row>
    <row r="19" spans="1:17" ht="27" customHeight="1">
      <c r="A19" s="1"/>
      <c r="B19" s="58" t="s">
        <v>15</v>
      </c>
      <c r="C19" s="59"/>
      <c r="D19" s="60"/>
      <c r="E19" s="60"/>
      <c r="F19" s="60"/>
      <c r="G19" s="61"/>
      <c r="H19" s="1"/>
      <c r="I19" s="175" t="s">
        <v>58</v>
      </c>
      <c r="J19" s="176"/>
      <c r="K19" s="176"/>
      <c r="L19" s="176"/>
      <c r="M19" s="176"/>
      <c r="N19" s="177"/>
      <c r="Q19" s="3"/>
    </row>
    <row r="20" spans="1:17" ht="12.75">
      <c r="A20" s="1"/>
      <c r="B20" s="62" t="s">
        <v>16</v>
      </c>
      <c r="D20" s="63"/>
      <c r="E20" s="63"/>
      <c r="F20" s="63"/>
      <c r="G20" s="64"/>
      <c r="H20" s="1"/>
      <c r="I20" s="178" t="str">
        <f>"For FAFSA filers, your Untaxed Income is ---&gt; $"&amp;ROUND(SUM(B22:B23),2)</f>
        <v>For FAFSA filers, your Untaxed Income is ---&gt; $0</v>
      </c>
      <c r="J20" s="179"/>
      <c r="K20" s="179"/>
      <c r="L20" s="179"/>
      <c r="M20" s="179"/>
      <c r="N20" s="180"/>
      <c r="P20" s="3"/>
      <c r="Q20" s="3"/>
    </row>
    <row r="21" spans="1:16" s="71" customFormat="1" ht="45" customHeight="1">
      <c r="A21" s="65"/>
      <c r="B21" s="66" t="s">
        <v>17</v>
      </c>
      <c r="C21" s="67" t="s">
        <v>18</v>
      </c>
      <c r="D21" s="67" t="s">
        <v>19</v>
      </c>
      <c r="E21" s="67" t="s">
        <v>20</v>
      </c>
      <c r="F21" s="67" t="s">
        <v>21</v>
      </c>
      <c r="G21" s="67" t="s">
        <v>22</v>
      </c>
      <c r="H21" s="65"/>
      <c r="I21" s="68" t="s">
        <v>23</v>
      </c>
      <c r="J21" s="69" t="s">
        <v>24</v>
      </c>
      <c r="K21" s="36" t="s">
        <v>25</v>
      </c>
      <c r="L21" s="36" t="s">
        <v>26</v>
      </c>
      <c r="M21" s="36" t="s">
        <v>27</v>
      </c>
      <c r="N21" s="37" t="s">
        <v>56</v>
      </c>
      <c r="O21" s="70"/>
      <c r="P21" s="2"/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>
        <v>1</v>
      </c>
      <c r="J22" s="121" t="s">
        <v>28</v>
      </c>
      <c r="K22" s="125">
        <v>263.16</v>
      </c>
      <c r="L22" s="122">
        <v>0.26</v>
      </c>
      <c r="M22" s="126">
        <f>ROUND(K22*L22,2)</f>
        <v>68.42</v>
      </c>
      <c r="N22" s="75" t="str">
        <f>IF($G22=0,"----",M22*$G22)</f>
        <v>----</v>
      </c>
    </row>
    <row r="23" spans="1:14" ht="15" customHeight="1" thickBo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>
        <v>2</v>
      </c>
      <c r="J23" s="121" t="s">
        <v>28</v>
      </c>
      <c r="K23" s="125">
        <v>210.53</v>
      </c>
      <c r="L23" s="122">
        <v>0.33</v>
      </c>
      <c r="M23" s="126">
        <f>ROUND(K23*L23,2)</f>
        <v>69.47</v>
      </c>
      <c r="N23" s="75" t="str">
        <f>IF($G23=0,"----",M23*$G23)</f>
        <v>----</v>
      </c>
    </row>
    <row r="24" spans="1:16" ht="20.25" customHeight="1" thickBot="1">
      <c r="A24" s="1"/>
      <c r="B24" s="78">
        <f>SUM(B22:B23)</f>
        <v>0</v>
      </c>
      <c r="C24" s="79"/>
      <c r="D24" s="79"/>
      <c r="E24" s="79"/>
      <c r="F24" s="79"/>
      <c r="G24" s="79"/>
      <c r="H24" s="1"/>
      <c r="I24" s="80"/>
      <c r="J24" s="52"/>
      <c r="K24" s="81"/>
      <c r="L24" s="82"/>
      <c r="M24" s="54" t="s">
        <v>29</v>
      </c>
      <c r="N24" s="83" t="str">
        <f>IF(SUM(N22:N23)=0,"----",SUM((N22:N23)))</f>
        <v>----</v>
      </c>
      <c r="P24" s="84"/>
    </row>
    <row r="25" spans="1:14" ht="15" customHeight="1" thickBot="1">
      <c r="A25" s="1"/>
      <c r="B25" s="79"/>
      <c r="C25" s="79"/>
      <c r="D25" s="79"/>
      <c r="E25" s="79"/>
      <c r="F25" s="79"/>
      <c r="H25" s="1"/>
      <c r="I25" s="85"/>
      <c r="J25" s="21"/>
      <c r="K25" s="86"/>
      <c r="L25" s="87"/>
      <c r="M25" s="23"/>
      <c r="N25" s="23"/>
    </row>
    <row r="26" spans="1:17" ht="25.5" customHeight="1">
      <c r="A26" s="1"/>
      <c r="B26" s="71"/>
      <c r="C26" s="2"/>
      <c r="D26" s="2"/>
      <c r="E26" s="2"/>
      <c r="F26" s="71"/>
      <c r="H26" s="1"/>
      <c r="I26" s="24" t="s">
        <v>30</v>
      </c>
      <c r="J26" s="25"/>
      <c r="K26" s="88"/>
      <c r="L26" s="89"/>
      <c r="M26" s="90" t="s">
        <v>31</v>
      </c>
      <c r="N26" s="26"/>
      <c r="P26" s="91"/>
      <c r="Q26" s="3"/>
    </row>
    <row r="27" spans="1:17" ht="28.5" customHeight="1">
      <c r="A27" s="1"/>
      <c r="B27" s="92" t="s">
        <v>32</v>
      </c>
      <c r="C27" s="93"/>
      <c r="D27" s="93"/>
      <c r="E27" s="94"/>
      <c r="F27" s="71"/>
      <c r="G27" s="95" t="s">
        <v>33</v>
      </c>
      <c r="H27" s="1"/>
      <c r="I27" s="175" t="s">
        <v>34</v>
      </c>
      <c r="J27" s="186"/>
      <c r="K27" s="186"/>
      <c r="L27" s="186"/>
      <c r="M27" s="184" t="s">
        <v>35</v>
      </c>
      <c r="N27" s="185"/>
      <c r="P27" s="3"/>
      <c r="Q27" s="3"/>
    </row>
    <row r="28" spans="1:17" ht="45" customHeight="1">
      <c r="A28" s="1"/>
      <c r="B28" s="67" t="s">
        <v>18</v>
      </c>
      <c r="C28" s="67" t="s">
        <v>36</v>
      </c>
      <c r="D28" s="67" t="s">
        <v>37</v>
      </c>
      <c r="E28" s="67" t="s">
        <v>38</v>
      </c>
      <c r="G28" s="67" t="s">
        <v>39</v>
      </c>
      <c r="H28" s="1"/>
      <c r="I28" s="96" t="s">
        <v>27</v>
      </c>
      <c r="J28" s="97" t="s">
        <v>56</v>
      </c>
      <c r="K28" s="3"/>
      <c r="L28" s="3"/>
      <c r="M28" s="36" t="s">
        <v>40</v>
      </c>
      <c r="N28" s="37" t="s">
        <v>56</v>
      </c>
      <c r="Q28" s="3"/>
    </row>
    <row r="29" spans="1:17" ht="15" customHeight="1" thickBot="1">
      <c r="A29" s="1"/>
      <c r="B29" s="98">
        <f>SUM(C22:C23)</f>
        <v>0</v>
      </c>
      <c r="C29" s="98">
        <f>COUNTIF(D22:F23,"&gt;=16")</f>
        <v>0</v>
      </c>
      <c r="D29" s="98">
        <f>(COUNTIF(D22:F23,"&gt;0")-C29)/2</f>
        <v>0</v>
      </c>
      <c r="E29" s="98">
        <f>SUM(B29:D29)</f>
        <v>0</v>
      </c>
      <c r="G29" s="99">
        <v>0</v>
      </c>
      <c r="H29" s="1"/>
      <c r="I29" s="100">
        <v>24</v>
      </c>
      <c r="J29" s="101" t="str">
        <f>IF(E29*I29=0,"----",E29*I29)</f>
        <v>----</v>
      </c>
      <c r="K29" s="3"/>
      <c r="L29" s="3"/>
      <c r="M29" s="102">
        <v>12</v>
      </c>
      <c r="N29" s="76" t="str">
        <f>IF($G29=0,"----",M29*$G29)</f>
        <v>----</v>
      </c>
      <c r="Q29" s="3"/>
    </row>
    <row r="30" spans="1:17" ht="15" customHeight="1" thickBot="1">
      <c r="A30" s="1"/>
      <c r="B30" s="12"/>
      <c r="C30" s="12"/>
      <c r="D30" s="12"/>
      <c r="E30" s="103"/>
      <c r="F30" s="12"/>
      <c r="G30" s="12"/>
      <c r="H30" s="1"/>
      <c r="I30" s="104"/>
      <c r="J30" s="105"/>
      <c r="K30" s="105"/>
      <c r="L30" s="106"/>
      <c r="M30" s="54" t="s">
        <v>41</v>
      </c>
      <c r="N30" s="83" t="str">
        <f>IF(SUM(J29,N29)=0,"----",SUM((J29,N29)))</f>
        <v>----</v>
      </c>
      <c r="Q30" s="3"/>
    </row>
    <row r="31" spans="1:15" s="12" customFormat="1" ht="15" customHeight="1">
      <c r="A31" s="5"/>
      <c r="E31" s="2"/>
      <c r="F31" s="2"/>
      <c r="H31" s="5"/>
      <c r="I31" s="2"/>
      <c r="J31" s="2"/>
      <c r="K31" s="2"/>
      <c r="L31" s="2"/>
      <c r="M31" s="2"/>
      <c r="N31" s="2"/>
      <c r="O31" s="11"/>
    </row>
    <row r="32" spans="1:15" s="12" customFormat="1" ht="20.25" customHeight="1">
      <c r="A32" s="5"/>
      <c r="H32" s="5"/>
      <c r="I32" s="2"/>
      <c r="J32" s="2"/>
      <c r="K32" s="2"/>
      <c r="L32" s="2"/>
      <c r="M32" s="23" t="s">
        <v>42</v>
      </c>
      <c r="N32" s="107">
        <f>SUM(N16,N24,N30)</f>
        <v>0</v>
      </c>
      <c r="O32" s="11"/>
    </row>
    <row r="33" spans="1:14" ht="15.75" thickBot="1">
      <c r="A33" s="1"/>
      <c r="B33" s="2"/>
      <c r="C33" s="2"/>
      <c r="D33" s="2"/>
      <c r="E33" s="2"/>
      <c r="F33" s="2"/>
      <c r="H33" s="1"/>
      <c r="M33" s="23" t="s">
        <v>43</v>
      </c>
      <c r="N33" s="107">
        <f>IF(G35=0,"",G35)</f>
      </c>
    </row>
    <row r="34" spans="1:14" ht="19.5" customHeight="1" thickBot="1">
      <c r="A34" s="1"/>
      <c r="B34" s="108" t="s">
        <v>44</v>
      </c>
      <c r="C34" s="109"/>
      <c r="D34" s="109"/>
      <c r="E34" s="109"/>
      <c r="F34" s="109"/>
      <c r="G34" s="110"/>
      <c r="H34" s="1"/>
      <c r="M34" s="111" t="s">
        <v>54</v>
      </c>
      <c r="N34" s="112">
        <f>IF(G35=0,"",SUM(N32:N33))</f>
      </c>
    </row>
    <row r="35" spans="1:14" ht="19.5" customHeight="1">
      <c r="A35" s="1"/>
      <c r="B35" s="183" t="s">
        <v>45</v>
      </c>
      <c r="C35" s="183"/>
      <c r="D35" s="183"/>
      <c r="E35" s="183"/>
      <c r="F35" s="183"/>
      <c r="G35" s="113">
        <v>0</v>
      </c>
      <c r="H35" s="1"/>
      <c r="M35" s="111"/>
      <c r="N35" s="114" t="s">
        <v>55</v>
      </c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15" t="s">
        <v>46</v>
      </c>
      <c r="J36" s="29"/>
      <c r="K36" s="29"/>
      <c r="L36" s="29"/>
      <c r="M36" s="29"/>
      <c r="N36" s="29"/>
    </row>
    <row r="37" spans="1:17" ht="12.75">
      <c r="A37" s="2"/>
      <c r="B37" s="2"/>
      <c r="C37" s="2"/>
      <c r="D37" s="2"/>
      <c r="E37" s="2"/>
      <c r="F37" s="2"/>
      <c r="H37" s="2"/>
      <c r="P37" s="116"/>
      <c r="Q37" s="116"/>
    </row>
    <row r="38" ht="28.5" customHeight="1">
      <c r="H38" s="2"/>
    </row>
    <row r="39" ht="12.75">
      <c r="H39" s="2"/>
    </row>
    <row r="58" spans="2:7" ht="12.75">
      <c r="B58" s="11"/>
      <c r="C58" s="11"/>
      <c r="G58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I27:L27"/>
    <mergeCell ref="M27:N27"/>
    <mergeCell ref="B35:F35"/>
    <mergeCell ref="I11:N11"/>
    <mergeCell ref="I19:N19"/>
    <mergeCell ref="I20:N20"/>
  </mergeCells>
  <printOptions/>
  <pageMargins left="0.75" right="0.75" top="1" bottom="1" header="0.5" footer="0.5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</sheetPr>
  <dimension ref="A1:Q5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Niger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159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40003</v>
      </c>
      <c r="J13" s="119">
        <v>40066</v>
      </c>
      <c r="K13" s="44">
        <f>+J13-I13+1</f>
        <v>64</v>
      </c>
      <c r="L13" s="129">
        <v>3.41</v>
      </c>
      <c r="M13" s="130">
        <f>ROUND(K13*L13,2)</f>
        <v>218.24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40095</v>
      </c>
      <c r="J14" s="119">
        <v>40159</v>
      </c>
      <c r="K14" s="44">
        <f>+J14-I14+1</f>
        <v>65</v>
      </c>
      <c r="L14" s="129">
        <v>3.41</v>
      </c>
      <c r="M14" s="130">
        <f>ROUND(K14*L14,2)</f>
        <v>221.65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$"&amp;ROUND(SUM(B21:B24),2)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37" t="s">
        <v>50</v>
      </c>
      <c r="J21" s="141" t="s">
        <v>28</v>
      </c>
      <c r="K21" s="135">
        <f>153750/440</f>
        <v>349.4318181818182</v>
      </c>
      <c r="L21" s="136">
        <v>0.456</v>
      </c>
      <c r="M21" s="126">
        <f>ROUND(K21*L21,2)</f>
        <v>159.34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37" t="s">
        <v>83</v>
      </c>
      <c r="J22" s="141" t="s">
        <v>28</v>
      </c>
      <c r="K22" s="135">
        <f>149750/440</f>
        <v>340.34090909090907</v>
      </c>
      <c r="L22" s="138">
        <v>0.456</v>
      </c>
      <c r="M22" s="126">
        <f>ROUND(K22*L22,2)</f>
        <v>155.2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37" t="s">
        <v>160</v>
      </c>
      <c r="J23" s="141" t="s">
        <v>28</v>
      </c>
      <c r="K23" s="135">
        <f>143750/440</f>
        <v>326.70454545454544</v>
      </c>
      <c r="L23" s="138">
        <v>0.456</v>
      </c>
      <c r="M23" s="126">
        <f>ROUND(K23*L23,2)</f>
        <v>148.98</v>
      </c>
      <c r="N23" s="75" t="str">
        <f>IF($G23=0,"----",M23*$G23)</f>
        <v>----</v>
      </c>
    </row>
    <row r="24" spans="1:14" ht="15" customHeight="1" thickBo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37" t="s">
        <v>62</v>
      </c>
      <c r="J24" s="141" t="s">
        <v>28</v>
      </c>
      <c r="K24" s="135">
        <f>123750/440</f>
        <v>281.25</v>
      </c>
      <c r="L24" s="138">
        <v>0.456</v>
      </c>
      <c r="M24" s="126">
        <f>ROUND(K24*L24,2)</f>
        <v>128.25</v>
      </c>
      <c r="N24" s="75" t="str">
        <f>IF($G24=0,"----",M24*$G24)</f>
        <v>----</v>
      </c>
    </row>
    <row r="25" spans="1:16" ht="20.25" customHeight="1" thickBot="1">
      <c r="A25" s="1"/>
      <c r="B25" s="78">
        <f>SUM(B21:B24)</f>
        <v>0</v>
      </c>
      <c r="C25" s="79"/>
      <c r="D25" s="79"/>
      <c r="E25" s="79"/>
      <c r="F25" s="79"/>
      <c r="G25" s="79"/>
      <c r="H25" s="1"/>
      <c r="I25" s="80"/>
      <c r="J25" s="52"/>
      <c r="K25" s="81"/>
      <c r="L25" s="82"/>
      <c r="M25" s="54" t="s">
        <v>29</v>
      </c>
      <c r="N25" s="83" t="str">
        <f>IF(SUM(N21:N24)=0,"----",SUM((N21:N24)))</f>
        <v>----</v>
      </c>
      <c r="P25" s="84"/>
    </row>
    <row r="26" spans="1:14" ht="15" customHeight="1" thickBot="1">
      <c r="A26" s="1"/>
      <c r="B26" s="79"/>
      <c r="C26" s="79"/>
      <c r="D26" s="79"/>
      <c r="E26" s="79"/>
      <c r="F26" s="79"/>
      <c r="H26" s="1"/>
      <c r="I26" s="85"/>
      <c r="J26" s="21"/>
      <c r="K26" s="86"/>
      <c r="L26" s="87"/>
      <c r="M26" s="23"/>
      <c r="N26" s="23"/>
    </row>
    <row r="27" spans="1:17" ht="25.5" customHeight="1">
      <c r="A27" s="1"/>
      <c r="B27" s="71"/>
      <c r="C27" s="2"/>
      <c r="D27" s="2"/>
      <c r="E27" s="2"/>
      <c r="F27" s="71"/>
      <c r="H27" s="1"/>
      <c r="I27" s="24" t="s">
        <v>30</v>
      </c>
      <c r="J27" s="25"/>
      <c r="K27" s="88"/>
      <c r="L27" s="89"/>
      <c r="M27" s="90" t="s">
        <v>31</v>
      </c>
      <c r="N27" s="26"/>
      <c r="P27" s="91"/>
      <c r="Q27" s="3"/>
    </row>
    <row r="28" spans="1:17" ht="28.5" customHeight="1">
      <c r="A28" s="1"/>
      <c r="B28" s="92" t="s">
        <v>32</v>
      </c>
      <c r="C28" s="93"/>
      <c r="D28" s="93"/>
      <c r="E28" s="94"/>
      <c r="F28" s="71"/>
      <c r="G28" s="95" t="s">
        <v>33</v>
      </c>
      <c r="H28" s="1"/>
      <c r="I28" s="175" t="s">
        <v>34</v>
      </c>
      <c r="J28" s="186"/>
      <c r="K28" s="186"/>
      <c r="L28" s="186"/>
      <c r="M28" s="184" t="s">
        <v>35</v>
      </c>
      <c r="N28" s="185"/>
      <c r="P28" s="3"/>
      <c r="Q28" s="3"/>
    </row>
    <row r="29" spans="1:17" ht="45" customHeight="1">
      <c r="A29" s="1"/>
      <c r="B29" s="67" t="s">
        <v>18</v>
      </c>
      <c r="C29" s="67" t="s">
        <v>36</v>
      </c>
      <c r="D29" s="67" t="s">
        <v>37</v>
      </c>
      <c r="E29" s="67" t="s">
        <v>38</v>
      </c>
      <c r="G29" s="67" t="s">
        <v>39</v>
      </c>
      <c r="H29" s="1"/>
      <c r="I29" s="96" t="s">
        <v>27</v>
      </c>
      <c r="J29" s="97" t="s">
        <v>56</v>
      </c>
      <c r="K29" s="3"/>
      <c r="L29" s="3"/>
      <c r="M29" s="36" t="s">
        <v>40</v>
      </c>
      <c r="N29" s="37" t="s">
        <v>56</v>
      </c>
      <c r="Q29" s="3"/>
    </row>
    <row r="30" spans="1:17" ht="15" customHeight="1" thickBot="1">
      <c r="A30" s="1"/>
      <c r="B30" s="98">
        <f>SUM(C21:C24)</f>
        <v>0</v>
      </c>
      <c r="C30" s="98">
        <f>COUNTIF(D21:F24,"&gt;=16")</f>
        <v>0</v>
      </c>
      <c r="D30" s="98">
        <f>(COUNTIF(D21:F24,"&gt;0")-C30)/2</f>
        <v>0</v>
      </c>
      <c r="E30" s="98">
        <f>SUM(B30:D30)</f>
        <v>0</v>
      </c>
      <c r="G30" s="99">
        <v>0</v>
      </c>
      <c r="H30" s="1"/>
      <c r="I30" s="100">
        <v>24</v>
      </c>
      <c r="J30" s="101" t="str">
        <f>IF(E30*I30=0,"----",E30*I30)</f>
        <v>----</v>
      </c>
      <c r="K30" s="3"/>
      <c r="L30" s="3"/>
      <c r="M30" s="102">
        <v>12</v>
      </c>
      <c r="N30" s="76" t="str">
        <f>IF($G30=0,"----",M30*$G30)</f>
        <v>----</v>
      </c>
      <c r="Q30" s="3"/>
    </row>
    <row r="31" spans="1:17" ht="15" customHeight="1" thickBot="1">
      <c r="A31" s="1"/>
      <c r="B31" s="12"/>
      <c r="C31" s="12"/>
      <c r="D31" s="12"/>
      <c r="E31" s="103"/>
      <c r="F31" s="12"/>
      <c r="G31" s="12"/>
      <c r="H31" s="1"/>
      <c r="I31" s="104"/>
      <c r="J31" s="105"/>
      <c r="K31" s="105"/>
      <c r="L31" s="106"/>
      <c r="M31" s="54" t="s">
        <v>41</v>
      </c>
      <c r="N31" s="83" t="str">
        <f>IF(SUM(J30,N30)=0,"----",SUM((J30,N30)))</f>
        <v>----</v>
      </c>
      <c r="Q31" s="3"/>
    </row>
    <row r="32" spans="1:15" s="12" customFormat="1" ht="15" customHeight="1">
      <c r="A32" s="5"/>
      <c r="E32" s="2"/>
      <c r="F32" s="2"/>
      <c r="H32" s="5"/>
      <c r="I32" s="2"/>
      <c r="J32" s="2"/>
      <c r="K32" s="2"/>
      <c r="L32" s="2"/>
      <c r="M32" s="2"/>
      <c r="N32" s="2"/>
      <c r="O32" s="11"/>
    </row>
    <row r="33" spans="1:15" s="12" customFormat="1" ht="20.25" customHeight="1">
      <c r="A33" s="5"/>
      <c r="H33" s="5"/>
      <c r="I33" s="2"/>
      <c r="J33" s="2"/>
      <c r="K33" s="2"/>
      <c r="L33" s="2"/>
      <c r="M33" s="23" t="s">
        <v>42</v>
      </c>
      <c r="N33" s="107">
        <f>SUM(N15,N25,N31)</f>
        <v>0</v>
      </c>
      <c r="O33" s="11"/>
    </row>
    <row r="34" spans="1:14" ht="15.75" thickBot="1">
      <c r="A34" s="1"/>
      <c r="B34" s="2"/>
      <c r="C34" s="2"/>
      <c r="D34" s="2"/>
      <c r="E34" s="2"/>
      <c r="F34" s="2"/>
      <c r="H34" s="1"/>
      <c r="M34" s="23" t="s">
        <v>43</v>
      </c>
      <c r="N34" s="107">
        <f>IF(G36=0,"",G36)</f>
      </c>
    </row>
    <row r="35" spans="1:14" ht="19.5" customHeight="1" thickBot="1">
      <c r="A35" s="1"/>
      <c r="B35" s="108" t="s">
        <v>44</v>
      </c>
      <c r="C35" s="109"/>
      <c r="D35" s="109"/>
      <c r="E35" s="109"/>
      <c r="F35" s="109"/>
      <c r="G35" s="110"/>
      <c r="H35" s="1"/>
      <c r="M35" s="111" t="s">
        <v>54</v>
      </c>
      <c r="N35" s="112">
        <f>IF(G36=0,"",SUM(N33:N34))</f>
      </c>
    </row>
    <row r="36" spans="1:14" ht="19.5" customHeight="1">
      <c r="A36" s="1"/>
      <c r="B36" s="183" t="s">
        <v>45</v>
      </c>
      <c r="C36" s="183"/>
      <c r="D36" s="183"/>
      <c r="E36" s="183"/>
      <c r="F36" s="183"/>
      <c r="G36" s="113">
        <v>0</v>
      </c>
      <c r="H36" s="1"/>
      <c r="M36" s="111"/>
      <c r="N36" s="114" t="s">
        <v>55</v>
      </c>
    </row>
    <row r="37" spans="1:14" ht="19.5" customHeight="1">
      <c r="A37" s="1"/>
      <c r="B37" s="1"/>
      <c r="C37" s="1"/>
      <c r="D37" s="1"/>
      <c r="E37" s="1"/>
      <c r="F37" s="1"/>
      <c r="G37" s="1"/>
      <c r="H37" s="1"/>
      <c r="I37" s="115" t="s">
        <v>46</v>
      </c>
      <c r="J37" s="29"/>
      <c r="K37" s="29"/>
      <c r="L37" s="29"/>
      <c r="M37" s="29"/>
      <c r="N37" s="29"/>
    </row>
    <row r="38" spans="1:17" ht="12.75">
      <c r="A38" s="2"/>
      <c r="B38" s="2"/>
      <c r="C38" s="2"/>
      <c r="D38" s="2"/>
      <c r="E38" s="2"/>
      <c r="F38" s="2"/>
      <c r="H38" s="2"/>
      <c r="P38" s="116"/>
      <c r="Q38" s="116"/>
    </row>
    <row r="39" ht="28.5" customHeight="1">
      <c r="H39" s="2"/>
    </row>
    <row r="40" ht="12.75">
      <c r="H40" s="2"/>
    </row>
    <row r="59" spans="2:7" ht="12.75">
      <c r="B59" s="11"/>
      <c r="C59" s="11"/>
      <c r="G59" s="12"/>
    </row>
  </sheetData>
  <sheetProtection/>
  <mergeCells count="14">
    <mergeCell ref="B36:F36"/>
    <mergeCell ref="I11:N11"/>
    <mergeCell ref="I18:N18"/>
    <mergeCell ref="I19:N19"/>
    <mergeCell ref="I28:L28"/>
    <mergeCell ref="M28:N28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Panama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214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39925</v>
      </c>
      <c r="J13" s="119">
        <v>39994</v>
      </c>
      <c r="K13" s="44">
        <f>+J13-I13+1</f>
        <v>70</v>
      </c>
      <c r="L13" s="129">
        <v>3</v>
      </c>
      <c r="M13" s="130">
        <f>ROUND(K13*L13,2)</f>
        <v>210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40037</v>
      </c>
      <c r="J14" s="119">
        <v>40108</v>
      </c>
      <c r="K14" s="44">
        <f>+J14-I14+1</f>
        <v>72</v>
      </c>
      <c r="L14" s="129">
        <v>3</v>
      </c>
      <c r="M14" s="130">
        <f>ROUND(K14*L14,2)</f>
        <v>216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$"&amp;ROUND(SUM(B21:B21),2)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28</v>
      </c>
      <c r="K21" s="125">
        <v>316</v>
      </c>
      <c r="L21" s="122">
        <v>0.39</v>
      </c>
      <c r="M21" s="126">
        <f>ROUND(K21*L21,2)</f>
        <v>123.24</v>
      </c>
      <c r="N21" s="75" t="str">
        <f>IF($G21=0,"----",M21*$G21)</f>
        <v>----</v>
      </c>
    </row>
    <row r="22" spans="1:16" ht="20.25" customHeight="1" thickBot="1">
      <c r="A22" s="1"/>
      <c r="B22" s="78">
        <f>SUM(B21:B21)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IF(SUM(N21:N21)=0,"----",SUM((N21:N21)))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SUM(C21:C21)</f>
        <v>0</v>
      </c>
      <c r="C27" s="98">
        <f>COUNTIF(D21:F21,"&gt;=16")</f>
        <v>0</v>
      </c>
      <c r="D27" s="98">
        <f>(COUNTIF(D21:F21,"&gt;0")-C27)/2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SUM(N15,N22,N28)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33:F33"/>
    <mergeCell ref="I11:N11"/>
    <mergeCell ref="I18:N18"/>
    <mergeCell ref="I19:N19"/>
    <mergeCell ref="I25:L25"/>
    <mergeCell ref="M25:N25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1:Q6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Paraguay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242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39848</v>
      </c>
      <c r="J13" s="119">
        <v>39927</v>
      </c>
      <c r="K13" s="44">
        <f>+J13-I13+1</f>
        <v>80</v>
      </c>
      <c r="L13" s="129">
        <v>3.64</v>
      </c>
      <c r="M13" s="130">
        <f>ROUND(K13*L13,2)</f>
        <v>291.2</v>
      </c>
      <c r="N13" s="46" t="str">
        <f>IF($G13=0,"----",M13)</f>
        <v>----</v>
      </c>
      <c r="P13" s="3"/>
      <c r="Q13" s="3"/>
    </row>
    <row r="14" spans="1:17" ht="15" customHeigh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39961</v>
      </c>
      <c r="J14" s="119">
        <v>40039</v>
      </c>
      <c r="K14" s="44">
        <f>+J14-I14+1</f>
        <v>79</v>
      </c>
      <c r="L14" s="129">
        <v>3.64</v>
      </c>
      <c r="M14" s="130">
        <f>ROUND(K14*L14,2)</f>
        <v>287.56</v>
      </c>
      <c r="N14" s="46" t="str">
        <f>IF($G14=0,"----",M14)</f>
        <v>----</v>
      </c>
      <c r="P14" s="3"/>
      <c r="Q14" s="3"/>
    </row>
    <row r="15" spans="1:17" ht="15" customHeight="1" thickBot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118">
        <v>40080</v>
      </c>
      <c r="J15" s="119">
        <v>40158</v>
      </c>
      <c r="K15" s="44">
        <f>+J15-I15+1</f>
        <v>79</v>
      </c>
      <c r="L15" s="129">
        <v>3.64</v>
      </c>
      <c r="M15" s="130">
        <f>ROUND(K15*L15,2)</f>
        <v>287.56</v>
      </c>
      <c r="N15" s="46" t="str">
        <f>IF($G15=0,"----",M15)</f>
        <v>----</v>
      </c>
      <c r="P15" s="3"/>
      <c r="Q15" s="3"/>
    </row>
    <row r="16" spans="1:17" ht="20.25" customHeight="1" thickBot="1">
      <c r="A16" s="1"/>
      <c r="B16" s="2"/>
      <c r="C16" s="2"/>
      <c r="D16" s="2"/>
      <c r="E16" s="2"/>
      <c r="F16" s="2"/>
      <c r="H16" s="1"/>
      <c r="I16" s="50"/>
      <c r="J16" s="51"/>
      <c r="K16" s="52"/>
      <c r="L16" s="53"/>
      <c r="M16" s="54" t="s">
        <v>13</v>
      </c>
      <c r="N16" s="55" t="str">
        <f>IF(SUM(N13:N15)=0,"----",SUM((N13:N15)))</f>
        <v>----</v>
      </c>
      <c r="P16" s="3"/>
      <c r="Q16" s="3"/>
    </row>
    <row r="17" spans="1:17" ht="15" customHeight="1" thickBot="1">
      <c r="A17" s="1"/>
      <c r="B17" s="2"/>
      <c r="C17" s="2"/>
      <c r="D17" s="2"/>
      <c r="E17" s="2"/>
      <c r="F17" s="2"/>
      <c r="H17" s="1"/>
      <c r="I17" s="20"/>
      <c r="J17" s="20"/>
      <c r="K17" s="21"/>
      <c r="L17" s="22"/>
      <c r="M17" s="23"/>
      <c r="N17" s="23"/>
      <c r="P17" s="3"/>
      <c r="Q17" s="3"/>
    </row>
    <row r="18" spans="1:17" s="12" customFormat="1" ht="25.5" customHeight="1">
      <c r="A18" s="5"/>
      <c r="B18" s="56"/>
      <c r="C18" s="56"/>
      <c r="D18" s="56"/>
      <c r="E18" s="56"/>
      <c r="F18" s="56"/>
      <c r="H18" s="5"/>
      <c r="I18" s="24" t="s">
        <v>14</v>
      </c>
      <c r="J18" s="25"/>
      <c r="K18" s="25"/>
      <c r="L18" s="25"/>
      <c r="M18" s="25"/>
      <c r="N18" s="57"/>
      <c r="O18" s="11"/>
      <c r="P18" s="2"/>
      <c r="Q18" s="2"/>
    </row>
    <row r="19" spans="1:17" ht="27" customHeight="1">
      <c r="A19" s="1"/>
      <c r="B19" s="58" t="s">
        <v>15</v>
      </c>
      <c r="C19" s="59"/>
      <c r="D19" s="60"/>
      <c r="E19" s="60"/>
      <c r="F19" s="60"/>
      <c r="G19" s="61"/>
      <c r="H19" s="1"/>
      <c r="I19" s="175" t="s">
        <v>58</v>
      </c>
      <c r="J19" s="176"/>
      <c r="K19" s="176"/>
      <c r="L19" s="176"/>
      <c r="M19" s="176"/>
      <c r="N19" s="177"/>
      <c r="Q19" s="3"/>
    </row>
    <row r="20" spans="1:17" ht="12.75">
      <c r="A20" s="1"/>
      <c r="B20" s="62" t="s">
        <v>16</v>
      </c>
      <c r="D20" s="63"/>
      <c r="E20" s="63"/>
      <c r="F20" s="63"/>
      <c r="G20" s="64"/>
      <c r="H20" s="1"/>
      <c r="I20" s="178" t="str">
        <f>"For FAFSA filers, your Untaxed Income is ---&gt; $"&amp;ROUND(SUM(B22:B25),2)</f>
        <v>For FAFSA filers, your Untaxed Income is ---&gt; $0</v>
      </c>
      <c r="J20" s="179"/>
      <c r="K20" s="179"/>
      <c r="L20" s="179"/>
      <c r="M20" s="179"/>
      <c r="N20" s="180"/>
      <c r="P20" s="3"/>
      <c r="Q20" s="3"/>
    </row>
    <row r="21" spans="1:16" s="71" customFormat="1" ht="45" customHeight="1">
      <c r="A21" s="65"/>
      <c r="B21" s="66" t="s">
        <v>17</v>
      </c>
      <c r="C21" s="67" t="s">
        <v>18</v>
      </c>
      <c r="D21" s="67" t="s">
        <v>19</v>
      </c>
      <c r="E21" s="67" t="s">
        <v>20</v>
      </c>
      <c r="F21" s="67" t="s">
        <v>21</v>
      </c>
      <c r="G21" s="67" t="s">
        <v>22</v>
      </c>
      <c r="H21" s="65"/>
      <c r="I21" s="68" t="s">
        <v>23</v>
      </c>
      <c r="J21" s="69" t="s">
        <v>24</v>
      </c>
      <c r="K21" s="36" t="s">
        <v>25</v>
      </c>
      <c r="L21" s="36" t="s">
        <v>26</v>
      </c>
      <c r="M21" s="36" t="s">
        <v>27</v>
      </c>
      <c r="N21" s="37" t="s">
        <v>56</v>
      </c>
      <c r="O21" s="70"/>
      <c r="P21" s="2"/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250</v>
      </c>
      <c r="J22" s="121" t="s">
        <v>263</v>
      </c>
      <c r="K22" s="125">
        <v>386.26</v>
      </c>
      <c r="L22" s="122">
        <v>0.23</v>
      </c>
      <c r="M22" s="126">
        <f>ROUND(K22*L22,2)</f>
        <v>88.84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261</v>
      </c>
      <c r="J23" s="121" t="s">
        <v>263</v>
      </c>
      <c r="K23" s="125">
        <v>343.34</v>
      </c>
      <c r="L23" s="122">
        <v>0.31</v>
      </c>
      <c r="M23" s="126">
        <f>ROUND(K23*L23,2)</f>
        <v>106.44</v>
      </c>
      <c r="N23" s="75" t="str">
        <f>IF($G23=0,"----",M23*$G23)</f>
        <v>----</v>
      </c>
    </row>
    <row r="24" spans="1:14" ht="15" customHeigh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24" t="s">
        <v>262</v>
      </c>
      <c r="J24" s="121" t="s">
        <v>263</v>
      </c>
      <c r="K24" s="125">
        <v>32.88</v>
      </c>
      <c r="L24" s="122">
        <v>0.29</v>
      </c>
      <c r="M24" s="126">
        <f>ROUND(K24*L24,2)</f>
        <v>9.54</v>
      </c>
      <c r="N24" s="75" t="str">
        <f>IF($G24=0,"----",M24*$G24)</f>
        <v>----</v>
      </c>
    </row>
    <row r="25" spans="1:14" ht="15" customHeight="1" thickBot="1">
      <c r="A25" s="1"/>
      <c r="B25" s="72" t="str">
        <f>IF($G25=0,"----",(K25-M25)*$G25)</f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>C25+D25/29+E25/30+F25/31</f>
        <v>0</v>
      </c>
      <c r="H25" s="1"/>
      <c r="I25" s="124" t="s">
        <v>62</v>
      </c>
      <c r="J25" s="121" t="s">
        <v>263</v>
      </c>
      <c r="K25" s="125">
        <v>278.96</v>
      </c>
      <c r="L25" s="122">
        <v>0.35</v>
      </c>
      <c r="M25" s="126">
        <f>ROUND(K25*L25,2)</f>
        <v>97.64</v>
      </c>
      <c r="N25" s="75" t="str">
        <f>IF($G25=0,"----",M25*$G25)</f>
        <v>----</v>
      </c>
    </row>
    <row r="26" spans="1:16" ht="20.25" customHeight="1" thickBot="1">
      <c r="A26" s="1"/>
      <c r="B26" s="78">
        <f>SUM(B22:B25)</f>
        <v>0</v>
      </c>
      <c r="C26" s="79"/>
      <c r="D26" s="79"/>
      <c r="E26" s="79"/>
      <c r="F26" s="79"/>
      <c r="G26" s="79"/>
      <c r="H26" s="1"/>
      <c r="I26" s="80"/>
      <c r="J26" s="52"/>
      <c r="K26" s="81"/>
      <c r="L26" s="82"/>
      <c r="M26" s="54" t="s">
        <v>29</v>
      </c>
      <c r="N26" s="83" t="str">
        <f>IF(SUM(N22:N25)=0,"----",SUM((N22:N25)))</f>
        <v>----</v>
      </c>
      <c r="P26" s="84"/>
    </row>
    <row r="27" spans="1:14" ht="15" customHeight="1" thickBot="1">
      <c r="A27" s="1"/>
      <c r="B27" s="79"/>
      <c r="C27" s="79"/>
      <c r="D27" s="79"/>
      <c r="E27" s="79"/>
      <c r="F27" s="79"/>
      <c r="H27" s="1"/>
      <c r="I27" s="85"/>
      <c r="J27" s="21"/>
      <c r="K27" s="86"/>
      <c r="L27" s="87"/>
      <c r="M27" s="23"/>
      <c r="N27" s="23"/>
    </row>
    <row r="28" spans="1:17" ht="25.5" customHeight="1">
      <c r="A28" s="1"/>
      <c r="B28" s="71"/>
      <c r="C28" s="2"/>
      <c r="D28" s="2"/>
      <c r="E28" s="2"/>
      <c r="F28" s="71"/>
      <c r="H28" s="1"/>
      <c r="I28" s="24" t="s">
        <v>30</v>
      </c>
      <c r="J28" s="25"/>
      <c r="K28" s="88"/>
      <c r="L28" s="89"/>
      <c r="M28" s="90" t="s">
        <v>31</v>
      </c>
      <c r="N28" s="26"/>
      <c r="P28" s="91"/>
      <c r="Q28" s="3"/>
    </row>
    <row r="29" spans="1:17" ht="28.5" customHeight="1">
      <c r="A29" s="1"/>
      <c r="B29" s="92" t="s">
        <v>32</v>
      </c>
      <c r="C29" s="93"/>
      <c r="D29" s="93"/>
      <c r="E29" s="94"/>
      <c r="F29" s="71"/>
      <c r="G29" s="95" t="s">
        <v>33</v>
      </c>
      <c r="H29" s="1"/>
      <c r="I29" s="175" t="s">
        <v>34</v>
      </c>
      <c r="J29" s="186"/>
      <c r="K29" s="186"/>
      <c r="L29" s="186"/>
      <c r="M29" s="184" t="s">
        <v>35</v>
      </c>
      <c r="N29" s="185"/>
      <c r="P29" s="3"/>
      <c r="Q29" s="3"/>
    </row>
    <row r="30" spans="1:17" ht="45" customHeight="1">
      <c r="A30" s="1"/>
      <c r="B30" s="67" t="s">
        <v>18</v>
      </c>
      <c r="C30" s="67" t="s">
        <v>36</v>
      </c>
      <c r="D30" s="67" t="s">
        <v>37</v>
      </c>
      <c r="E30" s="67" t="s">
        <v>38</v>
      </c>
      <c r="G30" s="67" t="s">
        <v>39</v>
      </c>
      <c r="H30" s="1"/>
      <c r="I30" s="96" t="s">
        <v>27</v>
      </c>
      <c r="J30" s="97" t="s">
        <v>56</v>
      </c>
      <c r="K30" s="3"/>
      <c r="L30" s="3"/>
      <c r="M30" s="36" t="s">
        <v>40</v>
      </c>
      <c r="N30" s="37" t="s">
        <v>56</v>
      </c>
      <c r="Q30" s="3"/>
    </row>
    <row r="31" spans="1:17" ht="15" customHeight="1" thickBot="1">
      <c r="A31" s="1"/>
      <c r="B31" s="98">
        <f>SUM(C22:C25)</f>
        <v>0</v>
      </c>
      <c r="C31" s="98">
        <f>COUNTIF(D22:F25,"&gt;=16")</f>
        <v>0</v>
      </c>
      <c r="D31" s="98">
        <f>(COUNTIF(D22:F25,"&gt;0")-C31)/2</f>
        <v>0</v>
      </c>
      <c r="E31" s="98">
        <f>SUM(B31:D31)</f>
        <v>0</v>
      </c>
      <c r="G31" s="99">
        <v>0</v>
      </c>
      <c r="H31" s="1"/>
      <c r="I31" s="100">
        <v>24</v>
      </c>
      <c r="J31" s="101" t="str">
        <f>IF(E31*I31=0,"----",E31*I31)</f>
        <v>----</v>
      </c>
      <c r="K31" s="3"/>
      <c r="L31" s="3"/>
      <c r="M31" s="102">
        <v>12</v>
      </c>
      <c r="N31" s="76" t="str">
        <f>IF($G31=0,"----",M31*$G31)</f>
        <v>----</v>
      </c>
      <c r="Q31" s="3"/>
    </row>
    <row r="32" spans="1:17" ht="15" customHeight="1" thickBot="1">
      <c r="A32" s="1"/>
      <c r="B32" s="12"/>
      <c r="C32" s="12"/>
      <c r="D32" s="12"/>
      <c r="E32" s="103"/>
      <c r="F32" s="12"/>
      <c r="G32" s="12"/>
      <c r="H32" s="1"/>
      <c r="I32" s="104"/>
      <c r="J32" s="105"/>
      <c r="K32" s="105"/>
      <c r="L32" s="106"/>
      <c r="M32" s="54" t="s">
        <v>41</v>
      </c>
      <c r="N32" s="83" t="str">
        <f>IF(SUM(J31,N31)=0,"----",SUM((J31,N31)))</f>
        <v>----</v>
      </c>
      <c r="Q32" s="3"/>
    </row>
    <row r="33" spans="1:15" s="12" customFormat="1" ht="15" customHeight="1">
      <c r="A33" s="5"/>
      <c r="E33" s="2"/>
      <c r="F33" s="2"/>
      <c r="H33" s="5"/>
      <c r="I33" s="2"/>
      <c r="J33" s="2"/>
      <c r="K33" s="2"/>
      <c r="L33" s="2"/>
      <c r="M33" s="2"/>
      <c r="N33" s="2"/>
      <c r="O33" s="11"/>
    </row>
    <row r="34" spans="1:15" s="12" customFormat="1" ht="20.25" customHeight="1">
      <c r="A34" s="5"/>
      <c r="H34" s="5"/>
      <c r="I34" s="2"/>
      <c r="J34" s="2"/>
      <c r="K34" s="2"/>
      <c r="L34" s="2"/>
      <c r="M34" s="23" t="s">
        <v>42</v>
      </c>
      <c r="N34" s="107">
        <f>SUM(N16,N26,N32)</f>
        <v>0</v>
      </c>
      <c r="O34" s="11"/>
    </row>
    <row r="35" spans="1:14" ht="15.75" thickBot="1">
      <c r="A35" s="1"/>
      <c r="B35" s="2"/>
      <c r="C35" s="2"/>
      <c r="D35" s="2"/>
      <c r="E35" s="2"/>
      <c r="F35" s="2"/>
      <c r="H35" s="1"/>
      <c r="M35" s="23" t="s">
        <v>43</v>
      </c>
      <c r="N35" s="107">
        <f>IF(G37=0,"",G37)</f>
      </c>
    </row>
    <row r="36" spans="1:14" ht="19.5" customHeight="1" thickBot="1">
      <c r="A36" s="1"/>
      <c r="B36" s="108" t="s">
        <v>44</v>
      </c>
      <c r="C36" s="109"/>
      <c r="D36" s="109"/>
      <c r="E36" s="109"/>
      <c r="F36" s="109"/>
      <c r="G36" s="110"/>
      <c r="H36" s="1"/>
      <c r="M36" s="111" t="s">
        <v>54</v>
      </c>
      <c r="N36" s="112">
        <f>IF(G37=0,"",SUM(N34:N35))</f>
      </c>
    </row>
    <row r="37" spans="1:14" ht="19.5" customHeight="1">
      <c r="A37" s="1"/>
      <c r="B37" s="183" t="s">
        <v>45</v>
      </c>
      <c r="C37" s="183"/>
      <c r="D37" s="183"/>
      <c r="E37" s="183"/>
      <c r="F37" s="183"/>
      <c r="G37" s="113">
        <v>0</v>
      </c>
      <c r="H37" s="1"/>
      <c r="M37" s="111"/>
      <c r="N37" s="114" t="s">
        <v>55</v>
      </c>
    </row>
    <row r="38" spans="1:14" ht="19.5" customHeight="1">
      <c r="A38" s="1"/>
      <c r="B38" s="1"/>
      <c r="C38" s="1"/>
      <c r="D38" s="1"/>
      <c r="E38" s="1"/>
      <c r="F38" s="1"/>
      <c r="G38" s="1"/>
      <c r="H38" s="1"/>
      <c r="I38" s="115" t="s">
        <v>46</v>
      </c>
      <c r="J38" s="29"/>
      <c r="K38" s="29"/>
      <c r="L38" s="29"/>
      <c r="M38" s="29"/>
      <c r="N38" s="29"/>
    </row>
    <row r="39" spans="1:17" ht="12.75">
      <c r="A39" s="2"/>
      <c r="B39" s="2"/>
      <c r="C39" s="2"/>
      <c r="D39" s="2"/>
      <c r="E39" s="2"/>
      <c r="F39" s="2"/>
      <c r="H39" s="2"/>
      <c r="P39" s="116"/>
      <c r="Q39" s="116"/>
    </row>
    <row r="40" ht="28.5" customHeight="1">
      <c r="H40" s="2"/>
    </row>
    <row r="41" ht="12.75">
      <c r="H41" s="2"/>
    </row>
    <row r="60" spans="2:7" ht="12.75">
      <c r="B60" s="11"/>
      <c r="C60" s="11"/>
      <c r="G60" s="12"/>
    </row>
  </sheetData>
  <sheetProtection/>
  <mergeCells count="14">
    <mergeCell ref="B37:F37"/>
    <mergeCell ref="C8:D8"/>
    <mergeCell ref="E8:G8"/>
    <mergeCell ref="I11:N11"/>
    <mergeCell ref="I19:N19"/>
    <mergeCell ref="I20:N20"/>
    <mergeCell ref="I29:L29"/>
    <mergeCell ref="M29:N29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</sheetPr>
  <dimension ref="A1:Q6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Peru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243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39970</v>
      </c>
      <c r="J13" s="119">
        <v>40046</v>
      </c>
      <c r="K13" s="44">
        <f>+J13-I13+1</f>
        <v>77</v>
      </c>
      <c r="L13" s="129">
        <v>2.68</v>
      </c>
      <c r="M13" s="130">
        <f>ROUND(K13*L13,2)</f>
        <v>206.36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40067</v>
      </c>
      <c r="J14" s="119">
        <v>40138</v>
      </c>
      <c r="K14" s="44">
        <f>+J14-I14+1</f>
        <v>72</v>
      </c>
      <c r="L14" s="129">
        <v>2.89</v>
      </c>
      <c r="M14" s="130">
        <f>ROUND(K14*L14,2)</f>
        <v>208.08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16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$"&amp;ROUND(SUM(B21:B25),2)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66" t="s">
        <v>245</v>
      </c>
      <c r="J21" s="167" t="s">
        <v>82</v>
      </c>
      <c r="K21" s="168">
        <v>455.96</v>
      </c>
      <c r="L21" s="169">
        <v>0.5126</v>
      </c>
      <c r="M21" s="126">
        <f>ROUND(K21*L21,2)</f>
        <v>233.73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70" t="s">
        <v>245</v>
      </c>
      <c r="J22" s="171" t="s">
        <v>129</v>
      </c>
      <c r="K22" s="168">
        <v>526.04</v>
      </c>
      <c r="L22" s="169">
        <v>0.5126</v>
      </c>
      <c r="M22" s="126">
        <f>ROUND(K22*L22,2)</f>
        <v>269.65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66" t="s">
        <v>50</v>
      </c>
      <c r="J23" s="167" t="s">
        <v>28</v>
      </c>
      <c r="K23" s="168">
        <v>407.64</v>
      </c>
      <c r="L23" s="172">
        <v>0.5126</v>
      </c>
      <c r="M23" s="126">
        <f>ROUND(K23*L23,2)</f>
        <v>208.96</v>
      </c>
      <c r="N23" s="75" t="str">
        <f>IF($G23=0,"----",M23*$G23)</f>
        <v>----</v>
      </c>
    </row>
    <row r="24" spans="1:14" ht="15" customHeigh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66" t="s">
        <v>61</v>
      </c>
      <c r="J24" s="167" t="s">
        <v>28</v>
      </c>
      <c r="K24" s="168">
        <v>348.84</v>
      </c>
      <c r="L24" s="172">
        <v>0.4275</v>
      </c>
      <c r="M24" s="126">
        <f>ROUND(K24*L24,2)</f>
        <v>149.13</v>
      </c>
      <c r="N24" s="75" t="str">
        <f>IF($G24=0,"----",M24*$G24)</f>
        <v>----</v>
      </c>
    </row>
    <row r="25" spans="1:14" ht="15" customHeight="1" thickBot="1">
      <c r="A25" s="1"/>
      <c r="B25" s="72" t="str">
        <f>IF($G25=0,"----",(K25-M25)*$G25)</f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>C25+D25/29+E25/30+F25/31</f>
        <v>0</v>
      </c>
      <c r="H25" s="1"/>
      <c r="I25" s="166" t="s">
        <v>62</v>
      </c>
      <c r="J25" s="167" t="s">
        <v>28</v>
      </c>
      <c r="K25" s="168">
        <v>319.93</v>
      </c>
      <c r="L25" s="172">
        <v>0.4535</v>
      </c>
      <c r="M25" s="126">
        <f>ROUND(K25*L25,2)</f>
        <v>145.09</v>
      </c>
      <c r="N25" s="75" t="str">
        <f>IF($G25=0,"----",M25*$G25)</f>
        <v>----</v>
      </c>
    </row>
    <row r="26" spans="1:16" ht="20.25" customHeight="1" thickBot="1">
      <c r="A26" s="1"/>
      <c r="B26" s="78">
        <f>SUM(B21:B25)</f>
        <v>0</v>
      </c>
      <c r="C26" s="79"/>
      <c r="D26" s="79"/>
      <c r="E26" s="79"/>
      <c r="F26" s="79"/>
      <c r="G26" s="79"/>
      <c r="H26" s="1"/>
      <c r="I26" s="80"/>
      <c r="J26" s="52"/>
      <c r="K26" s="81"/>
      <c r="L26" s="82"/>
      <c r="M26" s="54" t="s">
        <v>29</v>
      </c>
      <c r="N26" s="83" t="str">
        <f>IF(SUM(N21:N25)=0,"----",SUM((N21:N25)))</f>
        <v>----</v>
      </c>
      <c r="P26" s="84"/>
    </row>
    <row r="27" spans="1:14" ht="15" customHeight="1" thickBot="1">
      <c r="A27" s="1"/>
      <c r="B27" s="79"/>
      <c r="C27" s="79"/>
      <c r="D27" s="79"/>
      <c r="E27" s="79"/>
      <c r="F27" s="79"/>
      <c r="H27" s="1"/>
      <c r="I27" s="85"/>
      <c r="J27" s="21"/>
      <c r="K27" s="86"/>
      <c r="L27" s="87"/>
      <c r="M27" s="23"/>
      <c r="N27" s="23"/>
    </row>
    <row r="28" spans="1:16" ht="25.5" customHeight="1">
      <c r="A28" s="1"/>
      <c r="B28" s="71"/>
      <c r="C28" s="2"/>
      <c r="D28" s="2"/>
      <c r="E28" s="2"/>
      <c r="F28" s="71"/>
      <c r="H28" s="1"/>
      <c r="I28" s="24" t="s">
        <v>30</v>
      </c>
      <c r="J28" s="25"/>
      <c r="K28" s="88"/>
      <c r="L28" s="89"/>
      <c r="M28" s="90" t="s">
        <v>31</v>
      </c>
      <c r="N28" s="26"/>
      <c r="P28" s="91"/>
    </row>
    <row r="29" spans="1:17" ht="28.5" customHeight="1">
      <c r="A29" s="1"/>
      <c r="B29" s="92" t="s">
        <v>32</v>
      </c>
      <c r="C29" s="93"/>
      <c r="D29" s="93"/>
      <c r="E29" s="94"/>
      <c r="F29" s="71"/>
      <c r="G29" s="95" t="s">
        <v>33</v>
      </c>
      <c r="H29" s="1"/>
      <c r="I29" s="175" t="s">
        <v>34</v>
      </c>
      <c r="J29" s="186"/>
      <c r="K29" s="186"/>
      <c r="L29" s="186"/>
      <c r="M29" s="184" t="s">
        <v>35</v>
      </c>
      <c r="N29" s="185"/>
      <c r="P29" s="3"/>
      <c r="Q29" s="3"/>
    </row>
    <row r="30" spans="1:17" ht="45" customHeight="1">
      <c r="A30" s="1"/>
      <c r="B30" s="67" t="s">
        <v>18</v>
      </c>
      <c r="C30" s="67" t="s">
        <v>36</v>
      </c>
      <c r="D30" s="67" t="s">
        <v>37</v>
      </c>
      <c r="E30" s="67" t="s">
        <v>38</v>
      </c>
      <c r="G30" s="67" t="s">
        <v>39</v>
      </c>
      <c r="H30" s="1"/>
      <c r="I30" s="96" t="s">
        <v>27</v>
      </c>
      <c r="J30" s="97" t="s">
        <v>56</v>
      </c>
      <c r="K30" s="3"/>
      <c r="L30" s="3"/>
      <c r="M30" s="36" t="s">
        <v>40</v>
      </c>
      <c r="N30" s="37" t="s">
        <v>56</v>
      </c>
      <c r="Q30" s="3"/>
    </row>
    <row r="31" spans="1:17" ht="15" customHeight="1" thickBot="1">
      <c r="A31" s="1"/>
      <c r="B31" s="98">
        <f>SUM(C21:C25)</f>
        <v>0</v>
      </c>
      <c r="C31" s="98">
        <f>COUNTIF(D21:F25,"&gt;=16")</f>
        <v>0</v>
      </c>
      <c r="D31" s="98">
        <f>(COUNTIF(D21:F25,"&gt;0")-C31)/2</f>
        <v>0</v>
      </c>
      <c r="E31" s="98">
        <f>SUM(B31:D31)</f>
        <v>0</v>
      </c>
      <c r="G31" s="99">
        <v>0</v>
      </c>
      <c r="H31" s="1"/>
      <c r="I31" s="100">
        <v>24</v>
      </c>
      <c r="J31" s="101" t="str">
        <f>IF(E31*I31=0,"----",E31*I31)</f>
        <v>----</v>
      </c>
      <c r="K31" s="3"/>
      <c r="L31" s="3"/>
      <c r="M31" s="102">
        <v>12</v>
      </c>
      <c r="N31" s="76" t="str">
        <f>IF($G31=0,"----",M31*$G31)</f>
        <v>----</v>
      </c>
      <c r="Q31" s="3"/>
    </row>
    <row r="32" spans="1:17" ht="15" customHeight="1" thickBot="1">
      <c r="A32" s="1"/>
      <c r="B32" s="12"/>
      <c r="C32" s="12"/>
      <c r="D32" s="12"/>
      <c r="E32" s="103"/>
      <c r="F32" s="12"/>
      <c r="G32" s="12"/>
      <c r="H32" s="1"/>
      <c r="I32" s="104"/>
      <c r="J32" s="105"/>
      <c r="K32" s="105"/>
      <c r="L32" s="106"/>
      <c r="M32" s="54" t="s">
        <v>41</v>
      </c>
      <c r="N32" s="83" t="str">
        <f>IF(SUM(J31,N31)=0,"----",SUM((J31,N31)))</f>
        <v>----</v>
      </c>
      <c r="Q32" s="3"/>
    </row>
    <row r="33" spans="1:15" s="12" customFormat="1" ht="15" customHeight="1">
      <c r="A33" s="5"/>
      <c r="E33" s="2"/>
      <c r="F33" s="2"/>
      <c r="H33" s="5"/>
      <c r="I33" s="2"/>
      <c r="J33" s="2"/>
      <c r="K33" s="2"/>
      <c r="L33" s="2"/>
      <c r="M33" s="2"/>
      <c r="N33" s="2"/>
      <c r="O33" s="11"/>
    </row>
    <row r="34" spans="1:15" s="12" customFormat="1" ht="20.25" customHeight="1">
      <c r="A34" s="5"/>
      <c r="H34" s="5"/>
      <c r="I34" s="2"/>
      <c r="J34" s="2"/>
      <c r="K34" s="2"/>
      <c r="L34" s="2"/>
      <c r="M34" s="23" t="s">
        <v>42</v>
      </c>
      <c r="N34" s="107">
        <f>SUM(N15,N26,N32)</f>
        <v>0</v>
      </c>
      <c r="O34" s="11"/>
    </row>
    <row r="35" spans="1:14" ht="15.75" thickBot="1">
      <c r="A35" s="1"/>
      <c r="B35" s="2"/>
      <c r="C35" s="2"/>
      <c r="D35" s="2"/>
      <c r="E35" s="2"/>
      <c r="F35" s="2"/>
      <c r="H35" s="1"/>
      <c r="M35" s="23" t="s">
        <v>43</v>
      </c>
      <c r="N35" s="107">
        <f>IF(G37=0,"",G37)</f>
      </c>
    </row>
    <row r="36" spans="1:14" ht="19.5" customHeight="1" thickBot="1">
      <c r="A36" s="1"/>
      <c r="B36" s="108" t="s">
        <v>44</v>
      </c>
      <c r="C36" s="109"/>
      <c r="D36" s="109"/>
      <c r="E36" s="109"/>
      <c r="F36" s="109"/>
      <c r="G36" s="110"/>
      <c r="H36" s="1"/>
      <c r="M36" s="111" t="s">
        <v>54</v>
      </c>
      <c r="N36" s="112">
        <f>IF(G37=0,"",SUM(N34:N35))</f>
      </c>
    </row>
    <row r="37" spans="1:14" ht="19.5" customHeight="1">
      <c r="A37" s="1"/>
      <c r="B37" s="183" t="s">
        <v>45</v>
      </c>
      <c r="C37" s="183"/>
      <c r="D37" s="183"/>
      <c r="E37" s="183"/>
      <c r="F37" s="183"/>
      <c r="G37" s="113">
        <v>0</v>
      </c>
      <c r="H37" s="1"/>
      <c r="M37" s="111"/>
      <c r="N37" s="114" t="s">
        <v>55</v>
      </c>
    </row>
    <row r="38" spans="1:14" ht="19.5" customHeight="1">
      <c r="A38" s="1"/>
      <c r="B38" s="1"/>
      <c r="C38" s="1"/>
      <c r="D38" s="1"/>
      <c r="E38" s="1"/>
      <c r="F38" s="1"/>
      <c r="G38" s="1"/>
      <c r="H38" s="1"/>
      <c r="I38" s="115" t="s">
        <v>46</v>
      </c>
      <c r="J38" s="29"/>
      <c r="K38" s="29"/>
      <c r="L38" s="29"/>
      <c r="M38" s="29"/>
      <c r="N38" s="29"/>
    </row>
    <row r="39" spans="1:17" ht="12.75">
      <c r="A39" s="2"/>
      <c r="B39" s="2"/>
      <c r="C39" s="2"/>
      <c r="D39" s="2"/>
      <c r="E39" s="2"/>
      <c r="F39" s="2"/>
      <c r="H39" s="2"/>
      <c r="P39" s="116"/>
      <c r="Q39" s="116"/>
    </row>
    <row r="40" ht="28.5" customHeight="1">
      <c r="H40" s="2"/>
    </row>
    <row r="41" ht="12.75">
      <c r="H41" s="2"/>
    </row>
    <row r="60" spans="2:7" ht="12.75">
      <c r="B60" s="11"/>
      <c r="C60" s="11"/>
      <c r="G60" s="12"/>
    </row>
  </sheetData>
  <sheetProtection/>
  <mergeCells count="14">
    <mergeCell ref="B37:F37"/>
    <mergeCell ref="C8:D8"/>
    <mergeCell ref="E8:G8"/>
    <mergeCell ref="I11:N11"/>
    <mergeCell ref="I18:N18"/>
    <mergeCell ref="I19:N19"/>
    <mergeCell ref="I29:L29"/>
    <mergeCell ref="M29:N29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Philippines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179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40047</v>
      </c>
      <c r="J13" s="119">
        <v>40130</v>
      </c>
      <c r="K13" s="44">
        <f>+J13-I13+1</f>
        <v>84</v>
      </c>
      <c r="L13" s="129">
        <v>2.12</v>
      </c>
      <c r="M13" s="130">
        <f>ROUND(K13*L13,2)</f>
        <v>178.08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28</v>
      </c>
      <c r="K20" s="125">
        <v>278</v>
      </c>
      <c r="L20" s="122">
        <v>0.26</v>
      </c>
      <c r="M20" s="126">
        <f>ROUND(K20*L20,2)</f>
        <v>72.28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32:F32"/>
    <mergeCell ref="I11:N11"/>
    <mergeCell ref="I17:N17"/>
    <mergeCell ref="I18:N18"/>
    <mergeCell ref="I24:L24"/>
    <mergeCell ref="M24:N24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Romania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183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39963</v>
      </c>
      <c r="J13" s="119">
        <v>40039</v>
      </c>
      <c r="K13" s="44">
        <f>+J13-I13+1</f>
        <v>77</v>
      </c>
      <c r="L13" s="129">
        <v>4.33</v>
      </c>
      <c r="M13" s="130">
        <f>ROUND(K13*L13,2)</f>
        <v>333.41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$"&amp;ROUND(SUM(B20:B23),2)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88</v>
      </c>
      <c r="K20" s="156">
        <f>942/3.0493</f>
        <v>308.92335945954807</v>
      </c>
      <c r="L20" s="136">
        <v>0.1624</v>
      </c>
      <c r="M20" s="126">
        <f>ROUND(K20*L20,2)</f>
        <v>50.17</v>
      </c>
      <c r="N20" s="75" t="str">
        <f>IF($G20=0,"----",M20*$G20)</f>
        <v>----</v>
      </c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184</v>
      </c>
      <c r="K21" s="156">
        <f>862/3.0493</f>
        <v>282.68782999376907</v>
      </c>
      <c r="L21" s="138">
        <v>0.1775</v>
      </c>
      <c r="M21" s="126">
        <f>ROUND(K21*L21,2)</f>
        <v>50.18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64</v>
      </c>
      <c r="J22" s="121" t="s">
        <v>185</v>
      </c>
      <c r="K22" s="156">
        <f>821/3.0493</f>
        <v>269.2421211425573</v>
      </c>
      <c r="L22" s="138">
        <v>0.1729</v>
      </c>
      <c r="M22" s="126">
        <f>ROUND(K22*L22,2)</f>
        <v>46.55</v>
      </c>
      <c r="N22" s="75" t="str">
        <f>IF($G22=0,"----",M22*$G22)</f>
        <v>----</v>
      </c>
    </row>
    <row r="23" spans="1:14" ht="15" customHeight="1" thickBo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64</v>
      </c>
      <c r="J23" s="121" t="s">
        <v>186</v>
      </c>
      <c r="K23" s="156">
        <f>901/3.0493</f>
        <v>295.4776506083363</v>
      </c>
      <c r="L23" s="138">
        <v>0.1576</v>
      </c>
      <c r="M23" s="126">
        <f>ROUND(K23*L23,2)</f>
        <v>46.57</v>
      </c>
      <c r="N23" s="75" t="str">
        <f>IF($G23=0,"----",M23*$G23)</f>
        <v>----</v>
      </c>
    </row>
    <row r="24" spans="1:16" ht="20.25" customHeight="1" thickBot="1">
      <c r="A24" s="1"/>
      <c r="B24" s="78">
        <f>SUM(B20:B23)</f>
        <v>0</v>
      </c>
      <c r="C24" s="79"/>
      <c r="D24" s="79"/>
      <c r="E24" s="79"/>
      <c r="F24" s="79"/>
      <c r="G24" s="79"/>
      <c r="H24" s="1"/>
      <c r="I24" s="80"/>
      <c r="J24" s="52"/>
      <c r="K24" s="81"/>
      <c r="L24" s="82"/>
      <c r="M24" s="54" t="s">
        <v>29</v>
      </c>
      <c r="N24" s="83" t="str">
        <f>IF(SUM(N20:N23)=0,"----",SUM((N20:N23)))</f>
        <v>----</v>
      </c>
      <c r="P24" s="84"/>
    </row>
    <row r="25" spans="1:14" ht="15" customHeight="1" thickBot="1">
      <c r="A25" s="1"/>
      <c r="B25" s="79"/>
      <c r="C25" s="79"/>
      <c r="D25" s="79"/>
      <c r="E25" s="79"/>
      <c r="F25" s="79"/>
      <c r="H25" s="1"/>
      <c r="I25" s="85"/>
      <c r="J25" s="21"/>
      <c r="K25" s="86"/>
      <c r="L25" s="87"/>
      <c r="M25" s="23"/>
      <c r="N25" s="23"/>
    </row>
    <row r="26" spans="1:17" ht="25.5" customHeight="1">
      <c r="A26" s="1"/>
      <c r="B26" s="71"/>
      <c r="C26" s="2"/>
      <c r="D26" s="2"/>
      <c r="E26" s="2"/>
      <c r="F26" s="71"/>
      <c r="H26" s="1"/>
      <c r="I26" s="24" t="s">
        <v>30</v>
      </c>
      <c r="J26" s="25"/>
      <c r="K26" s="88"/>
      <c r="L26" s="89"/>
      <c r="M26" s="90" t="s">
        <v>31</v>
      </c>
      <c r="N26" s="26"/>
      <c r="P26" s="91"/>
      <c r="Q26" s="3"/>
    </row>
    <row r="27" spans="1:17" ht="28.5" customHeight="1">
      <c r="A27" s="1"/>
      <c r="B27" s="92" t="s">
        <v>32</v>
      </c>
      <c r="C27" s="93"/>
      <c r="D27" s="93"/>
      <c r="E27" s="94"/>
      <c r="F27" s="71"/>
      <c r="G27" s="95" t="s">
        <v>33</v>
      </c>
      <c r="H27" s="1"/>
      <c r="I27" s="175" t="s">
        <v>34</v>
      </c>
      <c r="J27" s="186"/>
      <c r="K27" s="186"/>
      <c r="L27" s="186"/>
      <c r="M27" s="184" t="s">
        <v>35</v>
      </c>
      <c r="N27" s="185"/>
      <c r="P27" s="3"/>
      <c r="Q27" s="3"/>
    </row>
    <row r="28" spans="1:17" ht="45" customHeight="1">
      <c r="A28" s="1"/>
      <c r="B28" s="67" t="s">
        <v>18</v>
      </c>
      <c r="C28" s="67" t="s">
        <v>36</v>
      </c>
      <c r="D28" s="67" t="s">
        <v>37</v>
      </c>
      <c r="E28" s="67" t="s">
        <v>38</v>
      </c>
      <c r="G28" s="67" t="s">
        <v>39</v>
      </c>
      <c r="H28" s="1"/>
      <c r="I28" s="96" t="s">
        <v>27</v>
      </c>
      <c r="J28" s="97" t="s">
        <v>56</v>
      </c>
      <c r="K28" s="3"/>
      <c r="L28" s="3"/>
      <c r="M28" s="36" t="s">
        <v>40</v>
      </c>
      <c r="N28" s="37" t="s">
        <v>56</v>
      </c>
      <c r="Q28" s="3"/>
    </row>
    <row r="29" spans="1:17" ht="15" customHeight="1" thickBot="1">
      <c r="A29" s="1"/>
      <c r="B29" s="98">
        <f>SUM(C20:C23)</f>
        <v>0</v>
      </c>
      <c r="C29" s="98">
        <f>COUNTIF(D20:F23,"&gt;=16")</f>
        <v>0</v>
      </c>
      <c r="D29" s="98">
        <f>(COUNTIF(D20:F23,"&gt;0")-C29)/2</f>
        <v>0</v>
      </c>
      <c r="E29" s="98">
        <f>SUM(B29:D29)</f>
        <v>0</v>
      </c>
      <c r="G29" s="99">
        <v>0</v>
      </c>
      <c r="H29" s="1"/>
      <c r="I29" s="100">
        <v>24</v>
      </c>
      <c r="J29" s="101" t="str">
        <f>IF(E29*I29=0,"----",E29*I29)</f>
        <v>----</v>
      </c>
      <c r="K29" s="3"/>
      <c r="L29" s="3"/>
      <c r="M29" s="102">
        <v>12</v>
      </c>
      <c r="N29" s="76" t="str">
        <f>IF($G29=0,"----",M29*$G29)</f>
        <v>----</v>
      </c>
      <c r="Q29" s="3"/>
    </row>
    <row r="30" spans="1:17" ht="15" customHeight="1" thickBot="1">
      <c r="A30" s="1"/>
      <c r="B30" s="12"/>
      <c r="C30" s="12"/>
      <c r="D30" s="12"/>
      <c r="E30" s="103"/>
      <c r="F30" s="12"/>
      <c r="G30" s="12"/>
      <c r="H30" s="1"/>
      <c r="I30" s="104"/>
      <c r="J30" s="105"/>
      <c r="K30" s="105"/>
      <c r="L30" s="106"/>
      <c r="M30" s="54" t="s">
        <v>41</v>
      </c>
      <c r="N30" s="83" t="str">
        <f>IF(SUM(J29,N29)=0,"----",SUM((J29,N29)))</f>
        <v>----</v>
      </c>
      <c r="Q30" s="3"/>
    </row>
    <row r="31" spans="1:15" s="12" customFormat="1" ht="15" customHeight="1">
      <c r="A31" s="5"/>
      <c r="E31" s="2"/>
      <c r="F31" s="2"/>
      <c r="H31" s="5"/>
      <c r="I31" s="2"/>
      <c r="J31" s="2"/>
      <c r="K31" s="2"/>
      <c r="L31" s="2"/>
      <c r="M31" s="2"/>
      <c r="N31" s="2"/>
      <c r="O31" s="11"/>
    </row>
    <row r="32" spans="1:15" s="12" customFormat="1" ht="20.25" customHeight="1">
      <c r="A32" s="5"/>
      <c r="H32" s="5"/>
      <c r="I32" s="2"/>
      <c r="J32" s="2"/>
      <c r="K32" s="2"/>
      <c r="L32" s="2"/>
      <c r="M32" s="23" t="s">
        <v>42</v>
      </c>
      <c r="N32" s="107">
        <f>SUM(N14,N24,N30)</f>
        <v>0</v>
      </c>
      <c r="O32" s="11"/>
    </row>
    <row r="33" spans="1:14" ht="15.75" thickBot="1">
      <c r="A33" s="1"/>
      <c r="B33" s="2"/>
      <c r="C33" s="2"/>
      <c r="D33" s="2"/>
      <c r="E33" s="2"/>
      <c r="F33" s="2"/>
      <c r="H33" s="1"/>
      <c r="M33" s="23" t="s">
        <v>43</v>
      </c>
      <c r="N33" s="107">
        <f>IF(G35=0,"",G35)</f>
      </c>
    </row>
    <row r="34" spans="1:14" ht="19.5" customHeight="1" thickBot="1">
      <c r="A34" s="1"/>
      <c r="B34" s="108" t="s">
        <v>44</v>
      </c>
      <c r="C34" s="109"/>
      <c r="D34" s="109"/>
      <c r="E34" s="109"/>
      <c r="F34" s="109"/>
      <c r="G34" s="110"/>
      <c r="H34" s="1"/>
      <c r="M34" s="111" t="s">
        <v>54</v>
      </c>
      <c r="N34" s="112">
        <f>IF(G35=0,"",SUM(N32:N33))</f>
      </c>
    </row>
    <row r="35" spans="1:14" ht="19.5" customHeight="1">
      <c r="A35" s="1"/>
      <c r="B35" s="183" t="s">
        <v>45</v>
      </c>
      <c r="C35" s="183"/>
      <c r="D35" s="183"/>
      <c r="E35" s="183"/>
      <c r="F35" s="183"/>
      <c r="G35" s="113">
        <v>0</v>
      </c>
      <c r="H35" s="1"/>
      <c r="M35" s="111"/>
      <c r="N35" s="114" t="s">
        <v>55</v>
      </c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15" t="s">
        <v>46</v>
      </c>
      <c r="J36" s="29"/>
      <c r="K36" s="29"/>
      <c r="L36" s="29"/>
      <c r="M36" s="29"/>
      <c r="N36" s="29"/>
    </row>
    <row r="37" spans="1:17" ht="12.75">
      <c r="A37" s="2"/>
      <c r="B37" s="2"/>
      <c r="C37" s="2"/>
      <c r="D37" s="2"/>
      <c r="E37" s="2"/>
      <c r="F37" s="2"/>
      <c r="H37" s="2"/>
      <c r="P37" s="116"/>
      <c r="Q37" s="116"/>
    </row>
    <row r="38" ht="28.5" customHeight="1">
      <c r="H38" s="2"/>
    </row>
    <row r="39" ht="12.75">
      <c r="H39" s="2"/>
    </row>
    <row r="58" spans="2:7" ht="12.75">
      <c r="B58" s="11"/>
      <c r="C58" s="11"/>
      <c r="G58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5:F35"/>
    <mergeCell ref="I11:N11"/>
    <mergeCell ref="I17:N17"/>
    <mergeCell ref="I18:N18"/>
    <mergeCell ref="I27:L27"/>
    <mergeCell ref="M27:N27"/>
  </mergeCells>
  <printOptions/>
  <pageMargins left="0.75" right="0.75" top="1" bottom="1" header="0.5" footer="0.5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</sheetPr>
  <dimension ref="A1:Q6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Rwanda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163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39842</v>
      </c>
      <c r="J13" s="119">
        <v>39918</v>
      </c>
      <c r="K13" s="44">
        <f>+J13-I13+1</f>
        <v>77</v>
      </c>
      <c r="L13" s="129">
        <v>2.64</v>
      </c>
      <c r="M13" s="130">
        <f>ROUND(K13*L13,2)</f>
        <v>203.28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40094</v>
      </c>
      <c r="J14" s="119">
        <v>40165</v>
      </c>
      <c r="K14" s="44">
        <f>+J14-I14+1</f>
        <v>72</v>
      </c>
      <c r="L14" s="129">
        <v>2.64</v>
      </c>
      <c r="M14" s="130">
        <f>ROUND(K14*L14,2)</f>
        <v>190.08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$"&amp;ROUND(SUM(B21:B28),2)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 aca="true" t="shared" si="0" ref="B21:B28"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aca="true" t="shared" si="1" ref="G21:G28">C21+D21/29+E21/30+F21/31</f>
        <v>0</v>
      </c>
      <c r="H21" s="1"/>
      <c r="I21" s="137" t="s">
        <v>50</v>
      </c>
      <c r="J21" s="134" t="s">
        <v>82</v>
      </c>
      <c r="K21" s="135">
        <f>141878/567.51</f>
        <v>250.00088104174375</v>
      </c>
      <c r="L21" s="122">
        <v>0.35</v>
      </c>
      <c r="M21" s="126">
        <f aca="true" t="shared" si="2" ref="M21:M28">ROUND(K21*L21,2)</f>
        <v>87.5</v>
      </c>
      <c r="N21" s="75" t="str">
        <f aca="true" t="shared" si="3" ref="N21:N28">IF($G21=0,"----",M21*$G21)</f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37" t="s">
        <v>83</v>
      </c>
      <c r="J22" s="134" t="s">
        <v>82</v>
      </c>
      <c r="K22" s="135">
        <f>141878/567.51</f>
        <v>250.00088104174375</v>
      </c>
      <c r="L22" s="122">
        <v>0.35</v>
      </c>
      <c r="M22" s="126">
        <f t="shared" si="2"/>
        <v>87.5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37" t="s">
        <v>160</v>
      </c>
      <c r="J23" s="134" t="s">
        <v>82</v>
      </c>
      <c r="K23" s="135">
        <f>141878/567.51</f>
        <v>250.00088104174375</v>
      </c>
      <c r="L23" s="122">
        <v>0.35</v>
      </c>
      <c r="M23" s="126">
        <f t="shared" si="2"/>
        <v>87.5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37" t="s">
        <v>62</v>
      </c>
      <c r="J24" s="134" t="s">
        <v>82</v>
      </c>
      <c r="K24" s="135">
        <f>141878/567.51</f>
        <v>250.00088104174375</v>
      </c>
      <c r="L24" s="122">
        <v>0.35</v>
      </c>
      <c r="M24" s="126">
        <f t="shared" si="2"/>
        <v>87.5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37" t="s">
        <v>50</v>
      </c>
      <c r="J25" s="134" t="s">
        <v>97</v>
      </c>
      <c r="K25" s="135">
        <f>141878/569.47</f>
        <v>249.14042881977977</v>
      </c>
      <c r="L25" s="122">
        <v>0.35</v>
      </c>
      <c r="M25" s="126">
        <f t="shared" si="2"/>
        <v>87.2</v>
      </c>
      <c r="N25" s="75" t="str">
        <f t="shared" si="3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37" t="s">
        <v>83</v>
      </c>
      <c r="J26" s="134" t="s">
        <v>97</v>
      </c>
      <c r="K26" s="135">
        <f>141878/569.47</f>
        <v>249.14042881977977</v>
      </c>
      <c r="L26" s="122">
        <v>0.35</v>
      </c>
      <c r="M26" s="126">
        <f t="shared" si="2"/>
        <v>87.2</v>
      </c>
      <c r="N26" s="75" t="str">
        <f t="shared" si="3"/>
        <v>----</v>
      </c>
    </row>
    <row r="27" spans="1:14" ht="15" customHeigh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37" t="s">
        <v>160</v>
      </c>
      <c r="J27" s="134" t="s">
        <v>97</v>
      </c>
      <c r="K27" s="135">
        <f>141878/569.47</f>
        <v>249.14042881977977</v>
      </c>
      <c r="L27" s="122">
        <v>0.35</v>
      </c>
      <c r="M27" s="126">
        <f t="shared" si="2"/>
        <v>87.2</v>
      </c>
      <c r="N27" s="75" t="str">
        <f t="shared" si="3"/>
        <v>----</v>
      </c>
    </row>
    <row r="28" spans="1:14" ht="15" customHeight="1" thickBot="1">
      <c r="A28" s="1"/>
      <c r="B28" s="72" t="str">
        <f t="shared" si="0"/>
        <v>----</v>
      </c>
      <c r="C28" s="73">
        <v>0</v>
      </c>
      <c r="D28" s="73">
        <v>0</v>
      </c>
      <c r="E28" s="73">
        <v>0</v>
      </c>
      <c r="F28" s="73">
        <v>0</v>
      </c>
      <c r="G28" s="74">
        <f t="shared" si="1"/>
        <v>0</v>
      </c>
      <c r="H28" s="1"/>
      <c r="I28" s="137" t="s">
        <v>62</v>
      </c>
      <c r="J28" s="134" t="s">
        <v>97</v>
      </c>
      <c r="K28" s="135">
        <f>141878/569.47</f>
        <v>249.14042881977977</v>
      </c>
      <c r="L28" s="122">
        <v>0.35</v>
      </c>
      <c r="M28" s="126">
        <f t="shared" si="2"/>
        <v>87.2</v>
      </c>
      <c r="N28" s="75" t="str">
        <f t="shared" si="3"/>
        <v>----</v>
      </c>
    </row>
    <row r="29" spans="1:16" ht="20.25" customHeight="1" thickBot="1">
      <c r="A29" s="1"/>
      <c r="B29" s="78">
        <f>SUM(B21:B28)</f>
        <v>0</v>
      </c>
      <c r="C29" s="79"/>
      <c r="D29" s="79"/>
      <c r="E29" s="79"/>
      <c r="F29" s="79"/>
      <c r="G29" s="79"/>
      <c r="H29" s="1"/>
      <c r="I29" s="80"/>
      <c r="J29" s="52"/>
      <c r="K29" s="81"/>
      <c r="L29" s="82"/>
      <c r="M29" s="54" t="s">
        <v>29</v>
      </c>
      <c r="N29" s="83" t="str">
        <f>IF(SUM(N21:N28)=0,"----",SUM((N21:N28)))</f>
        <v>----</v>
      </c>
      <c r="P29" s="84"/>
    </row>
    <row r="30" spans="1:14" ht="15" customHeight="1" thickBot="1">
      <c r="A30" s="1"/>
      <c r="B30" s="79"/>
      <c r="C30" s="79"/>
      <c r="D30" s="79"/>
      <c r="E30" s="79"/>
      <c r="F30" s="79"/>
      <c r="H30" s="1"/>
      <c r="I30" s="85"/>
      <c r="J30" s="21"/>
      <c r="K30" s="86"/>
      <c r="L30" s="87"/>
      <c r="M30" s="23"/>
      <c r="N30" s="23"/>
    </row>
    <row r="31" spans="1:17" ht="25.5" customHeight="1">
      <c r="A31" s="1"/>
      <c r="B31" s="71"/>
      <c r="C31" s="2"/>
      <c r="D31" s="2"/>
      <c r="E31" s="2"/>
      <c r="F31" s="71"/>
      <c r="H31" s="1"/>
      <c r="I31" s="24" t="s">
        <v>30</v>
      </c>
      <c r="J31" s="25"/>
      <c r="K31" s="88"/>
      <c r="L31" s="89"/>
      <c r="M31" s="90" t="s">
        <v>31</v>
      </c>
      <c r="N31" s="26"/>
      <c r="P31" s="91"/>
      <c r="Q31" s="3"/>
    </row>
    <row r="32" spans="1:17" ht="28.5" customHeight="1">
      <c r="A32" s="1"/>
      <c r="B32" s="92" t="s">
        <v>32</v>
      </c>
      <c r="C32" s="93"/>
      <c r="D32" s="93"/>
      <c r="E32" s="94"/>
      <c r="F32" s="71"/>
      <c r="G32" s="95" t="s">
        <v>33</v>
      </c>
      <c r="H32" s="1"/>
      <c r="I32" s="175" t="s">
        <v>34</v>
      </c>
      <c r="J32" s="186"/>
      <c r="K32" s="186"/>
      <c r="L32" s="186"/>
      <c r="M32" s="184" t="s">
        <v>35</v>
      </c>
      <c r="N32" s="185"/>
      <c r="P32" s="3"/>
      <c r="Q32" s="3"/>
    </row>
    <row r="33" spans="1:17" ht="45" customHeight="1">
      <c r="A33" s="1"/>
      <c r="B33" s="67" t="s">
        <v>18</v>
      </c>
      <c r="C33" s="67" t="s">
        <v>36</v>
      </c>
      <c r="D33" s="67" t="s">
        <v>37</v>
      </c>
      <c r="E33" s="67" t="s">
        <v>38</v>
      </c>
      <c r="G33" s="67" t="s">
        <v>39</v>
      </c>
      <c r="H33" s="1"/>
      <c r="I33" s="96" t="s">
        <v>27</v>
      </c>
      <c r="J33" s="97" t="s">
        <v>56</v>
      </c>
      <c r="K33" s="3"/>
      <c r="L33" s="3"/>
      <c r="M33" s="36" t="s">
        <v>40</v>
      </c>
      <c r="N33" s="37" t="s">
        <v>56</v>
      </c>
      <c r="Q33" s="3"/>
    </row>
    <row r="34" spans="1:17" ht="15" customHeight="1" thickBot="1">
      <c r="A34" s="1"/>
      <c r="B34" s="98">
        <f>SUM(C21:C28)</f>
        <v>0</v>
      </c>
      <c r="C34" s="98">
        <f>COUNTIF(D21:F28,"&gt;=16")</f>
        <v>0</v>
      </c>
      <c r="D34" s="98">
        <f>(COUNTIF(D21:F28,"&gt;0")-C34)/2</f>
        <v>0</v>
      </c>
      <c r="E34" s="98">
        <f>SUM(B34:D34)</f>
        <v>0</v>
      </c>
      <c r="G34" s="99">
        <v>0</v>
      </c>
      <c r="H34" s="1"/>
      <c r="I34" s="100">
        <v>24</v>
      </c>
      <c r="J34" s="101" t="str">
        <f>IF(E34*I34=0,"----",E34*I34)</f>
        <v>----</v>
      </c>
      <c r="K34" s="3"/>
      <c r="L34" s="3"/>
      <c r="M34" s="102">
        <v>12</v>
      </c>
      <c r="N34" s="76" t="str">
        <f>IF($G34=0,"----",M34*$G34)</f>
        <v>----</v>
      </c>
      <c r="Q34" s="3"/>
    </row>
    <row r="35" spans="1:17" ht="15" customHeight="1" thickBot="1">
      <c r="A35" s="1"/>
      <c r="B35" s="12"/>
      <c r="C35" s="12"/>
      <c r="D35" s="12"/>
      <c r="E35" s="103"/>
      <c r="F35" s="12"/>
      <c r="G35" s="12"/>
      <c r="H35" s="1"/>
      <c r="I35" s="104"/>
      <c r="J35" s="105"/>
      <c r="K35" s="105"/>
      <c r="L35" s="106"/>
      <c r="M35" s="54" t="s">
        <v>41</v>
      </c>
      <c r="N35" s="83" t="str">
        <f>IF(SUM(J34,N34)=0,"----",SUM((J34,N34)))</f>
        <v>----</v>
      </c>
      <c r="Q35" s="3"/>
    </row>
    <row r="36" spans="1:15" s="12" customFormat="1" ht="15" customHeight="1">
      <c r="A36" s="5"/>
      <c r="E36" s="2"/>
      <c r="F36" s="2"/>
      <c r="H36" s="5"/>
      <c r="I36" s="2"/>
      <c r="J36" s="2"/>
      <c r="K36" s="2"/>
      <c r="L36" s="2"/>
      <c r="M36" s="2"/>
      <c r="N36" s="2"/>
      <c r="O36" s="11"/>
    </row>
    <row r="37" spans="1:15" s="12" customFormat="1" ht="20.25" customHeight="1">
      <c r="A37" s="5"/>
      <c r="H37" s="5"/>
      <c r="I37" s="2"/>
      <c r="J37" s="2"/>
      <c r="K37" s="2"/>
      <c r="L37" s="2"/>
      <c r="M37" s="23" t="s">
        <v>42</v>
      </c>
      <c r="N37" s="107">
        <f>SUM(N15,N29,N35)</f>
        <v>0</v>
      </c>
      <c r="O37" s="11"/>
    </row>
    <row r="38" spans="1:14" ht="15.75" thickBot="1">
      <c r="A38" s="1"/>
      <c r="B38" s="2"/>
      <c r="C38" s="2"/>
      <c r="D38" s="2"/>
      <c r="E38" s="2"/>
      <c r="F38" s="2"/>
      <c r="H38" s="1"/>
      <c r="M38" s="23" t="s">
        <v>43</v>
      </c>
      <c r="N38" s="107">
        <f>IF(G40=0,"",G40)</f>
      </c>
    </row>
    <row r="39" spans="1:14" ht="19.5" customHeight="1" thickBot="1">
      <c r="A39" s="1"/>
      <c r="B39" s="108" t="s">
        <v>44</v>
      </c>
      <c r="C39" s="109"/>
      <c r="D39" s="109"/>
      <c r="E39" s="109"/>
      <c r="F39" s="109"/>
      <c r="G39" s="110"/>
      <c r="H39" s="1"/>
      <c r="M39" s="111" t="s">
        <v>54</v>
      </c>
      <c r="N39" s="112">
        <f>IF(G40=0,"",SUM(N37:N38))</f>
      </c>
    </row>
    <row r="40" spans="1:14" ht="19.5" customHeight="1">
      <c r="A40" s="1"/>
      <c r="B40" s="183" t="s">
        <v>45</v>
      </c>
      <c r="C40" s="183"/>
      <c r="D40" s="183"/>
      <c r="E40" s="183"/>
      <c r="F40" s="183"/>
      <c r="G40" s="113">
        <v>0</v>
      </c>
      <c r="H40" s="1"/>
      <c r="M40" s="111"/>
      <c r="N40" s="114" t="s">
        <v>55</v>
      </c>
    </row>
    <row r="41" spans="1:14" ht="19.5" customHeight="1">
      <c r="A41" s="1"/>
      <c r="B41" s="1"/>
      <c r="C41" s="1"/>
      <c r="D41" s="1"/>
      <c r="E41" s="1"/>
      <c r="F41" s="1"/>
      <c r="G41" s="1"/>
      <c r="H41" s="1"/>
      <c r="I41" s="115" t="s">
        <v>46</v>
      </c>
      <c r="J41" s="29"/>
      <c r="K41" s="29"/>
      <c r="L41" s="29"/>
      <c r="M41" s="29"/>
      <c r="N41" s="29"/>
    </row>
    <row r="42" spans="1:17" ht="12.75">
      <c r="A42" s="2"/>
      <c r="B42" s="2"/>
      <c r="C42" s="2"/>
      <c r="D42" s="2"/>
      <c r="E42" s="2"/>
      <c r="F42" s="2"/>
      <c r="H42" s="2"/>
      <c r="P42" s="116"/>
      <c r="Q42" s="116"/>
    </row>
    <row r="43" ht="28.5" customHeight="1">
      <c r="H43" s="2"/>
    </row>
    <row r="44" ht="12.75">
      <c r="H44" s="2"/>
    </row>
    <row r="63" spans="2:7" ht="12.75">
      <c r="B63" s="11"/>
      <c r="C63" s="11"/>
      <c r="G63" s="12"/>
    </row>
  </sheetData>
  <sheetProtection/>
  <mergeCells count="14">
    <mergeCell ref="B40:F40"/>
    <mergeCell ref="I11:N11"/>
    <mergeCell ref="I18:N18"/>
    <mergeCell ref="I19:N19"/>
    <mergeCell ref="I32:L32"/>
    <mergeCell ref="M32:N32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4">
      <selection activeCell="I22" sqref="I22:N22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349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Ghana</v>
      </c>
      <c r="K5" s="8"/>
      <c r="L5" s="9"/>
      <c r="M5" s="10"/>
      <c r="N5" s="10"/>
      <c r="O5" s="11"/>
      <c r="P5" s="2"/>
      <c r="Q5" s="2"/>
    </row>
    <row r="6" spans="1:14" ht="18">
      <c r="A6" s="1"/>
      <c r="C6" s="258" t="s">
        <v>1</v>
      </c>
      <c r="D6" s="258"/>
      <c r="E6" s="259" t="s">
        <v>236</v>
      </c>
      <c r="F6" s="259"/>
      <c r="G6" s="259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258" t="s">
        <v>2</v>
      </c>
      <c r="D7" s="258"/>
      <c r="E7" s="260" t="s">
        <v>350</v>
      </c>
      <c r="F7" s="260"/>
      <c r="G7" s="260"/>
      <c r="H7" s="1"/>
      <c r="K7" s="15" t="s">
        <v>2</v>
      </c>
      <c r="L7" s="16" t="str">
        <f>E7</f>
        <v>Luis McPCV</v>
      </c>
      <c r="M7" s="17"/>
      <c r="N7" s="17"/>
    </row>
    <row r="8" spans="1:14" ht="30.75" customHeight="1">
      <c r="A8" s="1"/>
      <c r="B8" s="2"/>
      <c r="C8" s="258" t="s">
        <v>60</v>
      </c>
      <c r="D8" s="258"/>
      <c r="E8" s="260" t="s">
        <v>362</v>
      </c>
      <c r="F8" s="260"/>
      <c r="G8" s="260"/>
      <c r="H8" s="1"/>
      <c r="K8" s="15" t="s">
        <v>53</v>
      </c>
      <c r="L8" s="18" t="str">
        <f>E8</f>
        <v>Jan 01 - Dec 31, 2009</v>
      </c>
      <c r="M8" s="19"/>
      <c r="N8" s="19"/>
    </row>
    <row r="9" spans="1:17" ht="15" customHeight="1" thickBot="1">
      <c r="A9" s="1"/>
      <c r="B9" s="262" t="s">
        <v>361</v>
      </c>
      <c r="C9" s="262"/>
      <c r="D9" s="262"/>
      <c r="E9" s="262"/>
      <c r="F9" s="262"/>
      <c r="G9" s="26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62" t="s">
        <v>368</v>
      </c>
      <c r="C10" s="262"/>
      <c r="D10" s="262"/>
      <c r="E10" s="262"/>
      <c r="F10" s="262"/>
      <c r="G10" s="26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62"/>
      <c r="C11" s="262"/>
      <c r="D11" s="262"/>
      <c r="E11" s="262"/>
      <c r="F11" s="262"/>
      <c r="G11" s="26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263">
        <v>39974</v>
      </c>
      <c r="J13" s="264">
        <v>40044</v>
      </c>
      <c r="K13" s="44">
        <f aca="true" t="shared" si="0" ref="K13:K18">+J13-I13+1</f>
        <v>71</v>
      </c>
      <c r="L13" s="265">
        <v>1.9</v>
      </c>
      <c r="M13" s="45">
        <f aca="true" t="shared" si="1" ref="M13:M18">ROUND(K13*L13,2)</f>
        <v>134.9</v>
      </c>
      <c r="N13" s="46" t="str">
        <f aca="true" t="shared" si="2" ref="N13:N18"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263">
        <v>40086</v>
      </c>
      <c r="J14" s="264">
        <v>40159</v>
      </c>
      <c r="K14" s="44">
        <f t="shared" si="0"/>
        <v>74</v>
      </c>
      <c r="L14" s="265">
        <v>1.9</v>
      </c>
      <c r="M14" s="45">
        <f t="shared" si="1"/>
        <v>140.6</v>
      </c>
      <c r="N14" s="46" t="str">
        <f t="shared" si="2"/>
        <v>----</v>
      </c>
      <c r="P14" s="3"/>
      <c r="Q14" s="3"/>
    </row>
    <row r="15" spans="1:17" ht="15" customHeight="1" hidden="1">
      <c r="A15" s="1"/>
      <c r="B15" s="2"/>
      <c r="C15" s="2"/>
      <c r="D15" s="41"/>
      <c r="E15" s="41"/>
      <c r="F15" s="42" t="s">
        <v>47</v>
      </c>
      <c r="G15" s="43">
        <v>0</v>
      </c>
      <c r="H15" s="1"/>
      <c r="I15" s="263"/>
      <c r="J15" s="264"/>
      <c r="K15" s="44">
        <f t="shared" si="0"/>
        <v>1</v>
      </c>
      <c r="L15" s="265"/>
      <c r="M15" s="45">
        <f t="shared" si="1"/>
        <v>0</v>
      </c>
      <c r="N15" s="46" t="str">
        <f t="shared" si="2"/>
        <v>----</v>
      </c>
      <c r="P15" s="3"/>
      <c r="Q15" s="3"/>
    </row>
    <row r="16" spans="1:17" ht="15" customHeight="1" hidden="1">
      <c r="A16" s="1"/>
      <c r="B16" s="2"/>
      <c r="C16" s="2"/>
      <c r="D16" s="41"/>
      <c r="E16" s="41"/>
      <c r="F16" s="42" t="s">
        <v>47</v>
      </c>
      <c r="G16" s="43">
        <v>0</v>
      </c>
      <c r="H16" s="1"/>
      <c r="I16" s="263"/>
      <c r="J16" s="264"/>
      <c r="K16" s="44">
        <f t="shared" si="0"/>
        <v>1</v>
      </c>
      <c r="L16" s="265"/>
      <c r="M16" s="45">
        <f t="shared" si="1"/>
        <v>0</v>
      </c>
      <c r="N16" s="46" t="str">
        <f t="shared" si="2"/>
        <v>----</v>
      </c>
      <c r="P16" s="3"/>
      <c r="Q16" s="3"/>
    </row>
    <row r="17" spans="1:17" ht="15" customHeight="1" hidden="1">
      <c r="A17" s="1"/>
      <c r="B17" s="2"/>
      <c r="C17" s="2"/>
      <c r="D17" s="41"/>
      <c r="E17" s="41"/>
      <c r="F17" s="42" t="s">
        <v>47</v>
      </c>
      <c r="G17" s="43">
        <v>0</v>
      </c>
      <c r="H17" s="1"/>
      <c r="I17" s="263"/>
      <c r="J17" s="264"/>
      <c r="K17" s="47">
        <f t="shared" si="0"/>
        <v>1</v>
      </c>
      <c r="L17" s="265"/>
      <c r="M17" s="45">
        <f t="shared" si="1"/>
        <v>0</v>
      </c>
      <c r="N17" s="48" t="str">
        <f t="shared" si="2"/>
        <v>----</v>
      </c>
      <c r="P17" s="3"/>
      <c r="Q17" s="3"/>
    </row>
    <row r="18" spans="1:17" ht="15" customHeight="1" hidden="1">
      <c r="A18" s="1"/>
      <c r="B18" s="2"/>
      <c r="C18" s="2"/>
      <c r="D18" s="41"/>
      <c r="E18" s="41"/>
      <c r="F18" s="42" t="s">
        <v>47</v>
      </c>
      <c r="G18" s="43">
        <v>0</v>
      </c>
      <c r="H18" s="1"/>
      <c r="I18" s="266"/>
      <c r="J18" s="267"/>
      <c r="K18" s="47">
        <f t="shared" si="0"/>
        <v>1</v>
      </c>
      <c r="L18" s="268"/>
      <c r="M18" s="45">
        <f t="shared" si="1"/>
        <v>0</v>
      </c>
      <c r="N18" s="49" t="str">
        <f t="shared" si="2"/>
        <v>----</v>
      </c>
      <c r="P18" s="3"/>
      <c r="Q18" s="3"/>
    </row>
    <row r="19" spans="1:17" ht="20.25" customHeight="1" thickBot="1">
      <c r="A19" s="1"/>
      <c r="B19" s="262" t="s">
        <v>359</v>
      </c>
      <c r="C19" s="262"/>
      <c r="D19" s="262"/>
      <c r="E19" s="262"/>
      <c r="F19" s="262"/>
      <c r="G19" s="262"/>
      <c r="H19" s="1"/>
      <c r="I19" s="50"/>
      <c r="J19" s="51"/>
      <c r="K19" s="52"/>
      <c r="L19" s="53"/>
      <c r="M19" s="54" t="s">
        <v>13</v>
      </c>
      <c r="N19" s="55" t="str">
        <f>IF(SUM(N13:N18)=0,"----",SUM((N13:N18)))</f>
        <v>----</v>
      </c>
      <c r="P19" s="3"/>
      <c r="Q19" s="3"/>
    </row>
    <row r="20" spans="1:17" ht="15" customHeight="1" thickBot="1">
      <c r="A20" s="1"/>
      <c r="B20" s="262"/>
      <c r="C20" s="262"/>
      <c r="D20" s="262"/>
      <c r="E20" s="262"/>
      <c r="F20" s="262"/>
      <c r="G20" s="262"/>
      <c r="H20" s="1"/>
      <c r="I20" s="20"/>
      <c r="J20" s="20"/>
      <c r="K20" s="21"/>
      <c r="L20" s="22"/>
      <c r="M20" s="23"/>
      <c r="N20" s="23"/>
      <c r="P20" s="3"/>
      <c r="Q20" s="3"/>
    </row>
    <row r="21" spans="1:17" s="12" customFormat="1" ht="25.5" customHeight="1">
      <c r="A21" s="5"/>
      <c r="B21" s="262"/>
      <c r="C21" s="262"/>
      <c r="D21" s="262"/>
      <c r="E21" s="262"/>
      <c r="F21" s="262"/>
      <c r="G21" s="262"/>
      <c r="H21" s="5"/>
      <c r="I21" s="24" t="s">
        <v>14</v>
      </c>
      <c r="J21" s="25"/>
      <c r="K21" s="25"/>
      <c r="L21" s="25"/>
      <c r="M21" s="25"/>
      <c r="N21" s="57"/>
      <c r="O21" s="11"/>
      <c r="P21" s="2"/>
      <c r="Q21" s="2"/>
    </row>
    <row r="22" spans="1:17" ht="27" customHeight="1">
      <c r="A22" s="1"/>
      <c r="B22" s="58" t="s">
        <v>15</v>
      </c>
      <c r="C22" s="59"/>
      <c r="D22" s="60"/>
      <c r="E22" s="60"/>
      <c r="F22" s="60"/>
      <c r="G22" s="61"/>
      <c r="H22" s="1"/>
      <c r="I22" s="175" t="s">
        <v>58</v>
      </c>
      <c r="J22" s="176"/>
      <c r="K22" s="176"/>
      <c r="L22" s="176"/>
      <c r="M22" s="176"/>
      <c r="N22" s="177"/>
      <c r="Q22" s="3"/>
    </row>
    <row r="23" spans="1:17" ht="12.75">
      <c r="A23" s="1"/>
      <c r="B23" s="62" t="s">
        <v>16</v>
      </c>
      <c r="D23" s="63"/>
      <c r="E23" s="63"/>
      <c r="F23" s="63"/>
      <c r="G23" s="64"/>
      <c r="H23" s="1"/>
      <c r="I23" s="178" t="str">
        <f>"For FAFSA filers, your Untaxed Income is ---&gt; $"&amp;ROUND(SUM(B25:B45),2)</f>
        <v>For FAFSA filers, your Untaxed Income is ---&gt; $1385.85</v>
      </c>
      <c r="J23" s="179"/>
      <c r="K23" s="179"/>
      <c r="L23" s="179"/>
      <c r="M23" s="179"/>
      <c r="N23" s="180"/>
      <c r="P23" s="3"/>
      <c r="Q23" s="3"/>
    </row>
    <row r="24" spans="1:16" s="71" customFormat="1" ht="45" customHeight="1">
      <c r="A24" s="65"/>
      <c r="B24" s="66" t="s">
        <v>17</v>
      </c>
      <c r="C24" s="67" t="s">
        <v>18</v>
      </c>
      <c r="D24" s="67" t="s">
        <v>19</v>
      </c>
      <c r="E24" s="67" t="s">
        <v>20</v>
      </c>
      <c r="F24" s="67" t="s">
        <v>21</v>
      </c>
      <c r="G24" s="67" t="s">
        <v>22</v>
      </c>
      <c r="H24" s="65"/>
      <c r="I24" s="68" t="s">
        <v>23</v>
      </c>
      <c r="J24" s="69" t="s">
        <v>24</v>
      </c>
      <c r="K24" s="36" t="s">
        <v>25</v>
      </c>
      <c r="L24" s="36" t="s">
        <v>26</v>
      </c>
      <c r="M24" s="36" t="s">
        <v>27</v>
      </c>
      <c r="N24" s="37" t="s">
        <v>56</v>
      </c>
      <c r="O24" s="70"/>
      <c r="P24" s="2"/>
    </row>
    <row r="25" spans="1:14" ht="15" customHeight="1">
      <c r="A25" s="1"/>
      <c r="B25" s="72" t="str">
        <f aca="true" t="shared" si="3" ref="B25:B45">IF($G25=0,"----",(K25-M25)*$G25)</f>
        <v>----</v>
      </c>
      <c r="C25" s="269">
        <v>0</v>
      </c>
      <c r="D25" s="269">
        <v>0</v>
      </c>
      <c r="E25" s="269">
        <v>0</v>
      </c>
      <c r="F25" s="269">
        <v>0</v>
      </c>
      <c r="G25" s="74">
        <f aca="true" t="shared" si="4" ref="G25:G45">C25+D25/29+E25/30+F25/31</f>
        <v>0</v>
      </c>
      <c r="H25" s="1"/>
      <c r="I25" s="270" t="s">
        <v>50</v>
      </c>
      <c r="J25" s="44" t="s">
        <v>82</v>
      </c>
      <c r="K25" s="271">
        <v>218.78</v>
      </c>
      <c r="L25" s="272">
        <v>0.4217</v>
      </c>
      <c r="M25" s="273">
        <f aca="true" t="shared" si="5" ref="M25:M45">ROUND(K25*L25,2)</f>
        <v>92.26</v>
      </c>
      <c r="N25" s="75" t="str">
        <f aca="true" t="shared" si="6" ref="N25:N45">IF($G25=0,"----",M25*$G25)</f>
        <v>----</v>
      </c>
    </row>
    <row r="26" spans="1:14" ht="15" customHeight="1">
      <c r="A26" s="1"/>
      <c r="B26" s="72" t="str">
        <f t="shared" si="3"/>
        <v>----</v>
      </c>
      <c r="C26" s="269">
        <v>0</v>
      </c>
      <c r="D26" s="269">
        <v>0</v>
      </c>
      <c r="E26" s="269">
        <v>0</v>
      </c>
      <c r="F26" s="269">
        <v>0</v>
      </c>
      <c r="G26" s="74">
        <f t="shared" si="4"/>
        <v>0</v>
      </c>
      <c r="H26" s="1"/>
      <c r="I26" s="274"/>
      <c r="J26" s="44" t="s">
        <v>129</v>
      </c>
      <c r="K26" s="271">
        <v>240.65</v>
      </c>
      <c r="L26" s="272">
        <v>0.3676</v>
      </c>
      <c r="M26" s="273">
        <f t="shared" si="5"/>
        <v>88.46</v>
      </c>
      <c r="N26" s="75" t="str">
        <f t="shared" si="6"/>
        <v>----</v>
      </c>
    </row>
    <row r="27" spans="1:14" ht="15" customHeight="1">
      <c r="A27" s="1"/>
      <c r="B27" s="72">
        <f t="shared" si="3"/>
        <v>1265.99</v>
      </c>
      <c r="C27" s="269">
        <v>11</v>
      </c>
      <c r="D27" s="269">
        <v>0</v>
      </c>
      <c r="E27" s="269">
        <v>0</v>
      </c>
      <c r="F27" s="269">
        <v>0</v>
      </c>
      <c r="G27" s="74">
        <f t="shared" si="4"/>
        <v>11</v>
      </c>
      <c r="H27" s="1"/>
      <c r="I27" s="270" t="s">
        <v>62</v>
      </c>
      <c r="J27" s="44" t="s">
        <v>82</v>
      </c>
      <c r="K27" s="271">
        <v>171.22</v>
      </c>
      <c r="L27" s="272">
        <v>0.3278</v>
      </c>
      <c r="M27" s="273">
        <f t="shared" si="5"/>
        <v>56.13</v>
      </c>
      <c r="N27" s="75">
        <f t="shared" si="6"/>
        <v>617.4300000000001</v>
      </c>
    </row>
    <row r="28" spans="1:14" ht="15" customHeight="1" thickBot="1">
      <c r="A28" s="1"/>
      <c r="B28" s="72">
        <f t="shared" si="3"/>
        <v>119.86</v>
      </c>
      <c r="C28" s="269">
        <v>1</v>
      </c>
      <c r="D28" s="269">
        <v>0</v>
      </c>
      <c r="E28" s="269">
        <v>0</v>
      </c>
      <c r="F28" s="269">
        <v>0</v>
      </c>
      <c r="G28" s="74">
        <f t="shared" si="4"/>
        <v>1</v>
      </c>
      <c r="H28" s="1"/>
      <c r="I28" s="274"/>
      <c r="J28" s="44" t="s">
        <v>129</v>
      </c>
      <c r="K28" s="271">
        <v>188.34</v>
      </c>
      <c r="L28" s="272">
        <v>0.3636</v>
      </c>
      <c r="M28" s="273">
        <f t="shared" si="5"/>
        <v>68.48</v>
      </c>
      <c r="N28" s="75">
        <f t="shared" si="6"/>
        <v>68.48</v>
      </c>
    </row>
    <row r="29" spans="1:14" ht="15" customHeight="1" hidden="1">
      <c r="A29" s="1"/>
      <c r="B29" s="72" t="str">
        <f t="shared" si="3"/>
        <v>----</v>
      </c>
      <c r="C29" s="269">
        <v>0</v>
      </c>
      <c r="D29" s="269">
        <v>0</v>
      </c>
      <c r="E29" s="269">
        <v>0</v>
      </c>
      <c r="F29" s="269">
        <v>0</v>
      </c>
      <c r="G29" s="74">
        <f t="shared" si="4"/>
        <v>0</v>
      </c>
      <c r="H29" s="1"/>
      <c r="I29" s="275"/>
      <c r="J29" s="44"/>
      <c r="K29" s="271"/>
      <c r="L29" s="272"/>
      <c r="M29" s="273">
        <f t="shared" si="5"/>
        <v>0</v>
      </c>
      <c r="N29" s="75" t="str">
        <f t="shared" si="6"/>
        <v>----</v>
      </c>
    </row>
    <row r="30" spans="1:14" ht="15" customHeight="1" hidden="1">
      <c r="A30" s="1"/>
      <c r="B30" s="72" t="str">
        <f t="shared" si="3"/>
        <v>----</v>
      </c>
      <c r="C30" s="269">
        <v>0</v>
      </c>
      <c r="D30" s="269">
        <v>0</v>
      </c>
      <c r="E30" s="269">
        <v>0</v>
      </c>
      <c r="F30" s="269">
        <v>0</v>
      </c>
      <c r="G30" s="74">
        <f t="shared" si="4"/>
        <v>0</v>
      </c>
      <c r="H30" s="1"/>
      <c r="I30" s="275"/>
      <c r="J30" s="44"/>
      <c r="K30" s="271"/>
      <c r="L30" s="272"/>
      <c r="M30" s="273">
        <f t="shared" si="5"/>
        <v>0</v>
      </c>
      <c r="N30" s="75" t="str">
        <f t="shared" si="6"/>
        <v>----</v>
      </c>
    </row>
    <row r="31" spans="1:14" ht="15" customHeight="1" hidden="1">
      <c r="A31" s="1"/>
      <c r="B31" s="72" t="str">
        <f t="shared" si="3"/>
        <v>----</v>
      </c>
      <c r="C31" s="269">
        <v>0</v>
      </c>
      <c r="D31" s="269">
        <v>0</v>
      </c>
      <c r="E31" s="269">
        <v>0</v>
      </c>
      <c r="F31" s="269">
        <v>0</v>
      </c>
      <c r="G31" s="74">
        <f t="shared" si="4"/>
        <v>0</v>
      </c>
      <c r="H31" s="1"/>
      <c r="I31" s="275"/>
      <c r="J31" s="44"/>
      <c r="K31" s="271"/>
      <c r="L31" s="272"/>
      <c r="M31" s="273">
        <f t="shared" si="5"/>
        <v>0</v>
      </c>
      <c r="N31" s="75" t="str">
        <f t="shared" si="6"/>
        <v>----</v>
      </c>
    </row>
    <row r="32" spans="1:14" ht="15" customHeight="1" hidden="1">
      <c r="A32" s="1"/>
      <c r="B32" s="72" t="str">
        <f t="shared" si="3"/>
        <v>----</v>
      </c>
      <c r="C32" s="269">
        <v>0</v>
      </c>
      <c r="D32" s="269">
        <v>0</v>
      </c>
      <c r="E32" s="269">
        <v>0</v>
      </c>
      <c r="F32" s="269">
        <v>0</v>
      </c>
      <c r="G32" s="74">
        <f t="shared" si="4"/>
        <v>0</v>
      </c>
      <c r="H32" s="1"/>
      <c r="I32" s="275"/>
      <c r="J32" s="44"/>
      <c r="K32" s="271"/>
      <c r="L32" s="272"/>
      <c r="M32" s="273">
        <f t="shared" si="5"/>
        <v>0</v>
      </c>
      <c r="N32" s="75" t="str">
        <f t="shared" si="6"/>
        <v>----</v>
      </c>
    </row>
    <row r="33" spans="1:14" ht="15" customHeight="1" hidden="1">
      <c r="A33" s="1"/>
      <c r="B33" s="72" t="str">
        <f t="shared" si="3"/>
        <v>----</v>
      </c>
      <c r="C33" s="269">
        <v>0</v>
      </c>
      <c r="D33" s="269">
        <v>0</v>
      </c>
      <c r="E33" s="269">
        <v>0</v>
      </c>
      <c r="F33" s="269">
        <v>0</v>
      </c>
      <c r="G33" s="74">
        <f t="shared" si="4"/>
        <v>0</v>
      </c>
      <c r="H33" s="1"/>
      <c r="I33" s="275"/>
      <c r="J33" s="44"/>
      <c r="K33" s="271"/>
      <c r="L33" s="272"/>
      <c r="M33" s="273">
        <f t="shared" si="5"/>
        <v>0</v>
      </c>
      <c r="N33" s="75" t="str">
        <f t="shared" si="6"/>
        <v>----</v>
      </c>
    </row>
    <row r="34" spans="1:14" ht="15" customHeight="1" hidden="1">
      <c r="A34" s="1"/>
      <c r="B34" s="72" t="str">
        <f t="shared" si="3"/>
        <v>----</v>
      </c>
      <c r="C34" s="269">
        <v>0</v>
      </c>
      <c r="D34" s="269">
        <v>0</v>
      </c>
      <c r="E34" s="269">
        <v>0</v>
      </c>
      <c r="F34" s="269">
        <v>0</v>
      </c>
      <c r="G34" s="74">
        <f t="shared" si="4"/>
        <v>0</v>
      </c>
      <c r="H34" s="1"/>
      <c r="I34" s="275"/>
      <c r="J34" s="44"/>
      <c r="K34" s="271"/>
      <c r="L34" s="272"/>
      <c r="M34" s="273">
        <f t="shared" si="5"/>
        <v>0</v>
      </c>
      <c r="N34" s="75" t="str">
        <f t="shared" si="6"/>
        <v>----</v>
      </c>
    </row>
    <row r="35" spans="1:14" ht="15" customHeight="1" hidden="1">
      <c r="A35" s="1"/>
      <c r="B35" s="72" t="str">
        <f t="shared" si="3"/>
        <v>----</v>
      </c>
      <c r="C35" s="269">
        <v>0</v>
      </c>
      <c r="D35" s="269">
        <v>0</v>
      </c>
      <c r="E35" s="269">
        <v>0</v>
      </c>
      <c r="F35" s="269">
        <v>0</v>
      </c>
      <c r="G35" s="74">
        <f t="shared" si="4"/>
        <v>0</v>
      </c>
      <c r="H35" s="1"/>
      <c r="I35" s="275"/>
      <c r="J35" s="44"/>
      <c r="K35" s="271"/>
      <c r="L35" s="272"/>
      <c r="M35" s="273">
        <f t="shared" si="5"/>
        <v>0</v>
      </c>
      <c r="N35" s="75" t="str">
        <f t="shared" si="6"/>
        <v>----</v>
      </c>
    </row>
    <row r="36" spans="1:14" ht="15" customHeight="1" hidden="1">
      <c r="A36" s="1"/>
      <c r="B36" s="72" t="str">
        <f t="shared" si="3"/>
        <v>----</v>
      </c>
      <c r="C36" s="269">
        <v>0</v>
      </c>
      <c r="D36" s="269">
        <v>0</v>
      </c>
      <c r="E36" s="269">
        <v>0</v>
      </c>
      <c r="F36" s="269">
        <v>0</v>
      </c>
      <c r="G36" s="74">
        <f t="shared" si="4"/>
        <v>0</v>
      </c>
      <c r="H36" s="1"/>
      <c r="I36" s="275"/>
      <c r="J36" s="44"/>
      <c r="K36" s="271"/>
      <c r="L36" s="272"/>
      <c r="M36" s="273">
        <f t="shared" si="5"/>
        <v>0</v>
      </c>
      <c r="N36" s="75" t="str">
        <f t="shared" si="6"/>
        <v>----</v>
      </c>
    </row>
    <row r="37" spans="1:14" ht="15" customHeight="1" hidden="1">
      <c r="A37" s="1"/>
      <c r="B37" s="72" t="str">
        <f t="shared" si="3"/>
        <v>----</v>
      </c>
      <c r="C37" s="269">
        <v>0</v>
      </c>
      <c r="D37" s="269">
        <v>0</v>
      </c>
      <c r="E37" s="269">
        <v>0</v>
      </c>
      <c r="F37" s="269">
        <v>0</v>
      </c>
      <c r="G37" s="74">
        <f t="shared" si="4"/>
        <v>0</v>
      </c>
      <c r="H37" s="1"/>
      <c r="I37" s="275"/>
      <c r="J37" s="44"/>
      <c r="K37" s="271"/>
      <c r="L37" s="272"/>
      <c r="M37" s="273">
        <f t="shared" si="5"/>
        <v>0</v>
      </c>
      <c r="N37" s="75" t="str">
        <f t="shared" si="6"/>
        <v>----</v>
      </c>
    </row>
    <row r="38" spans="1:14" ht="15" customHeight="1" hidden="1">
      <c r="A38" s="1"/>
      <c r="B38" s="72" t="str">
        <f t="shared" si="3"/>
        <v>----</v>
      </c>
      <c r="C38" s="269">
        <v>0</v>
      </c>
      <c r="D38" s="269">
        <v>0</v>
      </c>
      <c r="E38" s="269">
        <v>0</v>
      </c>
      <c r="F38" s="269">
        <v>0</v>
      </c>
      <c r="G38" s="74">
        <f t="shared" si="4"/>
        <v>0</v>
      </c>
      <c r="H38" s="1"/>
      <c r="I38" s="275"/>
      <c r="J38" s="44"/>
      <c r="K38" s="271"/>
      <c r="L38" s="272"/>
      <c r="M38" s="273">
        <f t="shared" si="5"/>
        <v>0</v>
      </c>
      <c r="N38" s="75" t="str">
        <f t="shared" si="6"/>
        <v>----</v>
      </c>
    </row>
    <row r="39" spans="1:14" ht="15" customHeight="1" hidden="1">
      <c r="A39" s="1"/>
      <c r="B39" s="72" t="str">
        <f t="shared" si="3"/>
        <v>----</v>
      </c>
      <c r="C39" s="269">
        <v>0</v>
      </c>
      <c r="D39" s="269">
        <v>0</v>
      </c>
      <c r="E39" s="269">
        <v>0</v>
      </c>
      <c r="F39" s="269">
        <v>0</v>
      </c>
      <c r="G39" s="74">
        <f t="shared" si="4"/>
        <v>0</v>
      </c>
      <c r="H39" s="1"/>
      <c r="I39" s="275"/>
      <c r="J39" s="44"/>
      <c r="K39" s="271"/>
      <c r="L39" s="272"/>
      <c r="M39" s="273">
        <f t="shared" si="5"/>
        <v>0</v>
      </c>
      <c r="N39" s="75" t="str">
        <f t="shared" si="6"/>
        <v>----</v>
      </c>
    </row>
    <row r="40" spans="1:14" ht="15" customHeight="1" hidden="1">
      <c r="A40" s="1"/>
      <c r="B40" s="72" t="str">
        <f t="shared" si="3"/>
        <v>----</v>
      </c>
      <c r="C40" s="269">
        <v>0</v>
      </c>
      <c r="D40" s="269">
        <v>0</v>
      </c>
      <c r="E40" s="269">
        <v>0</v>
      </c>
      <c r="F40" s="269">
        <v>0</v>
      </c>
      <c r="G40" s="74">
        <f t="shared" si="4"/>
        <v>0</v>
      </c>
      <c r="H40" s="1"/>
      <c r="I40" s="275"/>
      <c r="J40" s="44"/>
      <c r="K40" s="271"/>
      <c r="L40" s="272"/>
      <c r="M40" s="273">
        <f t="shared" si="5"/>
        <v>0</v>
      </c>
      <c r="N40" s="75" t="str">
        <f t="shared" si="6"/>
        <v>----</v>
      </c>
    </row>
    <row r="41" spans="1:14" ht="15" customHeight="1" hidden="1">
      <c r="A41" s="1"/>
      <c r="B41" s="72" t="str">
        <f t="shared" si="3"/>
        <v>----</v>
      </c>
      <c r="C41" s="269">
        <v>0</v>
      </c>
      <c r="D41" s="269">
        <v>0</v>
      </c>
      <c r="E41" s="269">
        <v>0</v>
      </c>
      <c r="F41" s="269">
        <v>0</v>
      </c>
      <c r="G41" s="74">
        <f t="shared" si="4"/>
        <v>0</v>
      </c>
      <c r="H41" s="1"/>
      <c r="I41" s="275"/>
      <c r="J41" s="44"/>
      <c r="K41" s="271"/>
      <c r="L41" s="272"/>
      <c r="M41" s="273">
        <f t="shared" si="5"/>
        <v>0</v>
      </c>
      <c r="N41" s="75" t="str">
        <f t="shared" si="6"/>
        <v>----</v>
      </c>
    </row>
    <row r="42" spans="1:14" ht="15" customHeight="1" hidden="1">
      <c r="A42" s="1"/>
      <c r="B42" s="72" t="str">
        <f t="shared" si="3"/>
        <v>----</v>
      </c>
      <c r="C42" s="269">
        <v>0</v>
      </c>
      <c r="D42" s="269">
        <v>0</v>
      </c>
      <c r="E42" s="269">
        <v>0</v>
      </c>
      <c r="F42" s="269">
        <v>0</v>
      </c>
      <c r="G42" s="74">
        <f t="shared" si="4"/>
        <v>0</v>
      </c>
      <c r="H42" s="1"/>
      <c r="I42" s="275"/>
      <c r="J42" s="44"/>
      <c r="K42" s="271"/>
      <c r="L42" s="272"/>
      <c r="M42" s="273">
        <f t="shared" si="5"/>
        <v>0</v>
      </c>
      <c r="N42" s="75" t="str">
        <f t="shared" si="6"/>
        <v>----</v>
      </c>
    </row>
    <row r="43" spans="1:14" ht="15" customHeight="1" hidden="1">
      <c r="A43" s="1"/>
      <c r="B43" s="72" t="str">
        <f t="shared" si="3"/>
        <v>----</v>
      </c>
      <c r="C43" s="269">
        <v>0</v>
      </c>
      <c r="D43" s="269">
        <v>0</v>
      </c>
      <c r="E43" s="269">
        <v>0</v>
      </c>
      <c r="F43" s="269">
        <v>0</v>
      </c>
      <c r="G43" s="74">
        <f t="shared" si="4"/>
        <v>0</v>
      </c>
      <c r="H43" s="1"/>
      <c r="I43" s="276"/>
      <c r="J43" s="47"/>
      <c r="K43" s="271"/>
      <c r="L43" s="272"/>
      <c r="M43" s="277">
        <f t="shared" si="5"/>
        <v>0</v>
      </c>
      <c r="N43" s="76" t="str">
        <f t="shared" si="6"/>
        <v>----</v>
      </c>
    </row>
    <row r="44" spans="1:14" ht="15" customHeight="1" hidden="1">
      <c r="A44" s="1"/>
      <c r="B44" s="72" t="str">
        <f t="shared" si="3"/>
        <v>----</v>
      </c>
      <c r="C44" s="269">
        <v>0</v>
      </c>
      <c r="D44" s="269">
        <v>0</v>
      </c>
      <c r="E44" s="269">
        <v>0</v>
      </c>
      <c r="F44" s="269">
        <v>0</v>
      </c>
      <c r="G44" s="74">
        <f t="shared" si="4"/>
        <v>0</v>
      </c>
      <c r="H44" s="1"/>
      <c r="I44" s="276"/>
      <c r="J44" s="47"/>
      <c r="K44" s="271"/>
      <c r="L44" s="272"/>
      <c r="M44" s="277">
        <f t="shared" si="5"/>
        <v>0</v>
      </c>
      <c r="N44" s="76" t="str">
        <f t="shared" si="6"/>
        <v>----</v>
      </c>
    </row>
    <row r="45" spans="1:14" ht="15" customHeight="1" hidden="1">
      <c r="A45" s="1"/>
      <c r="B45" s="72" t="str">
        <f t="shared" si="3"/>
        <v>----</v>
      </c>
      <c r="C45" s="269">
        <v>0</v>
      </c>
      <c r="D45" s="269">
        <v>0</v>
      </c>
      <c r="E45" s="269">
        <v>0</v>
      </c>
      <c r="F45" s="269">
        <v>0</v>
      </c>
      <c r="G45" s="74">
        <f t="shared" si="4"/>
        <v>0</v>
      </c>
      <c r="H45" s="1"/>
      <c r="I45" s="276"/>
      <c r="J45" s="47"/>
      <c r="K45" s="271"/>
      <c r="L45" s="272"/>
      <c r="M45" s="277">
        <f t="shared" si="5"/>
        <v>0</v>
      </c>
      <c r="N45" s="77" t="str">
        <f t="shared" si="6"/>
        <v>----</v>
      </c>
    </row>
    <row r="46" spans="1:16" ht="20.25" customHeight="1" thickBot="1">
      <c r="A46" s="1"/>
      <c r="B46" s="78">
        <f>SUM(B25:B45)</f>
        <v>1385.85</v>
      </c>
      <c r="C46" s="278" t="s">
        <v>353</v>
      </c>
      <c r="D46" s="79"/>
      <c r="E46" s="279"/>
      <c r="F46" s="79"/>
      <c r="G46" s="79"/>
      <c r="H46" s="1"/>
      <c r="I46" s="80"/>
      <c r="J46" s="52"/>
      <c r="K46" s="81"/>
      <c r="L46" s="82"/>
      <c r="M46" s="54" t="s">
        <v>29</v>
      </c>
      <c r="N46" s="83">
        <f>IF(SUM(N25:N45)=0,"----",SUM((N25:N45)))</f>
        <v>685.9100000000001</v>
      </c>
      <c r="P46" s="84"/>
    </row>
    <row r="47" spans="1:14" ht="15" customHeight="1" thickBot="1">
      <c r="A47" s="1"/>
      <c r="B47" s="280" t="s">
        <v>367</v>
      </c>
      <c r="C47" s="280"/>
      <c r="D47" s="280"/>
      <c r="E47" s="280"/>
      <c r="F47" s="280"/>
      <c r="G47" s="280"/>
      <c r="H47" s="1"/>
      <c r="I47" s="85"/>
      <c r="J47" s="21"/>
      <c r="K47" s="86"/>
      <c r="L47" s="87"/>
      <c r="M47" s="23"/>
      <c r="N47" s="23"/>
    </row>
    <row r="48" spans="1:17" ht="25.5" customHeight="1">
      <c r="A48" s="1"/>
      <c r="B48" s="280"/>
      <c r="C48" s="280"/>
      <c r="D48" s="280"/>
      <c r="E48" s="280"/>
      <c r="F48" s="280"/>
      <c r="G48" s="280"/>
      <c r="H48" s="1"/>
      <c r="I48" s="24" t="s">
        <v>30</v>
      </c>
      <c r="J48" s="25"/>
      <c r="K48" s="88"/>
      <c r="L48" s="89"/>
      <c r="M48" s="90" t="s">
        <v>31</v>
      </c>
      <c r="N48" s="26"/>
      <c r="P48" s="91"/>
      <c r="Q48" s="3"/>
    </row>
    <row r="49" spans="1:17" ht="28.5" customHeight="1">
      <c r="A49" s="1"/>
      <c r="B49" s="92" t="s">
        <v>32</v>
      </c>
      <c r="C49" s="93"/>
      <c r="D49" s="93"/>
      <c r="E49" s="94"/>
      <c r="F49" s="71"/>
      <c r="G49" s="95" t="s">
        <v>33</v>
      </c>
      <c r="H49" s="1"/>
      <c r="I49" s="175" t="s">
        <v>34</v>
      </c>
      <c r="J49" s="186"/>
      <c r="K49" s="186"/>
      <c r="L49" s="186"/>
      <c r="M49" s="184" t="s">
        <v>35</v>
      </c>
      <c r="N49" s="185"/>
      <c r="P49" s="3"/>
      <c r="Q49" s="3"/>
    </row>
    <row r="50" spans="1:17" ht="45" customHeight="1">
      <c r="A50" s="1"/>
      <c r="B50" s="67" t="s">
        <v>18</v>
      </c>
      <c r="C50" s="67" t="s">
        <v>36</v>
      </c>
      <c r="D50" s="67" t="s">
        <v>37</v>
      </c>
      <c r="E50" s="67" t="s">
        <v>38</v>
      </c>
      <c r="G50" s="67" t="s">
        <v>39</v>
      </c>
      <c r="H50" s="1"/>
      <c r="I50" s="96" t="s">
        <v>27</v>
      </c>
      <c r="J50" s="97" t="s">
        <v>56</v>
      </c>
      <c r="K50" s="3"/>
      <c r="L50" s="3"/>
      <c r="M50" s="36" t="s">
        <v>40</v>
      </c>
      <c r="N50" s="37" t="s">
        <v>56</v>
      </c>
      <c r="Q50" s="3"/>
    </row>
    <row r="51" spans="1:17" ht="15" customHeight="1" thickBot="1">
      <c r="A51" s="1"/>
      <c r="B51" s="98">
        <f>SUM(C25:C45)</f>
        <v>12</v>
      </c>
      <c r="C51" s="98">
        <f>COUNTIF(D25:F45,"&gt;=16")</f>
        <v>0</v>
      </c>
      <c r="D51" s="98">
        <f>(COUNTIF(D25:F45,"&gt;0")-C51)/2</f>
        <v>0</v>
      </c>
      <c r="E51" s="98">
        <f>SUM(B51:D51)</f>
        <v>12</v>
      </c>
      <c r="G51" s="99">
        <v>30</v>
      </c>
      <c r="H51" s="1"/>
      <c r="I51" s="100">
        <v>24</v>
      </c>
      <c r="J51" s="101">
        <f>IF(E51*I51=0,"----",E51*I51)</f>
        <v>288</v>
      </c>
      <c r="K51" s="3"/>
      <c r="L51" s="3"/>
      <c r="M51" s="102">
        <v>12</v>
      </c>
      <c r="N51" s="76">
        <f>IF($G51=0,"----",M51*$G51)</f>
        <v>360</v>
      </c>
      <c r="Q51" s="3"/>
    </row>
    <row r="52" spans="1:17" ht="15" customHeight="1" thickBot="1">
      <c r="A52" s="1"/>
      <c r="B52" s="12"/>
      <c r="C52" s="12"/>
      <c r="D52" s="12"/>
      <c r="E52" s="103"/>
      <c r="F52" s="12"/>
      <c r="G52" s="12"/>
      <c r="H52" s="1"/>
      <c r="I52" s="104"/>
      <c r="J52" s="105"/>
      <c r="K52" s="105"/>
      <c r="L52" s="106"/>
      <c r="M52" s="54" t="s">
        <v>41</v>
      </c>
      <c r="N52" s="83">
        <f>IF(SUM(J51,N51)=0,"----",SUM((J51,N51)))</f>
        <v>648</v>
      </c>
      <c r="Q52" s="3"/>
    </row>
    <row r="53" spans="1:15" s="12" customFormat="1" ht="15" customHeight="1">
      <c r="A53" s="5"/>
      <c r="B53" s="280" t="s">
        <v>355</v>
      </c>
      <c r="C53" s="280"/>
      <c r="D53" s="280"/>
      <c r="E53" s="280"/>
      <c r="F53" s="280"/>
      <c r="G53" s="280"/>
      <c r="H53" s="5"/>
      <c r="I53" s="2"/>
      <c r="J53" s="2"/>
      <c r="K53" s="2"/>
      <c r="L53" s="2"/>
      <c r="M53" s="2"/>
      <c r="N53" s="2"/>
      <c r="O53" s="11"/>
    </row>
    <row r="54" spans="1:15" s="12" customFormat="1" ht="20.25" customHeight="1">
      <c r="A54" s="5"/>
      <c r="B54" s="280"/>
      <c r="C54" s="280"/>
      <c r="D54" s="280"/>
      <c r="E54" s="280"/>
      <c r="F54" s="280"/>
      <c r="G54" s="280"/>
      <c r="H54" s="5"/>
      <c r="I54" s="2"/>
      <c r="J54" s="2"/>
      <c r="K54" s="2"/>
      <c r="L54" s="2"/>
      <c r="M54" s="23" t="s">
        <v>42</v>
      </c>
      <c r="N54" s="107">
        <f>SUM(N19,N46,N52)</f>
        <v>1333.91</v>
      </c>
      <c r="O54" s="11"/>
    </row>
    <row r="55" spans="1:14" ht="15.75" thickBot="1">
      <c r="A55" s="1"/>
      <c r="B55" s="281"/>
      <c r="C55" s="281"/>
      <c r="D55" s="281"/>
      <c r="E55" s="281"/>
      <c r="F55" s="281"/>
      <c r="G55" s="281"/>
      <c r="H55" s="1"/>
      <c r="M55" s="23" t="s">
        <v>43</v>
      </c>
      <c r="N55" s="107">
        <f>IF(G57=0,"",G57)</f>
        <v>2700</v>
      </c>
    </row>
    <row r="56" spans="1:14" ht="19.5" customHeight="1" thickBot="1">
      <c r="A56" s="1"/>
      <c r="B56" s="108" t="s">
        <v>44</v>
      </c>
      <c r="C56" s="109"/>
      <c r="D56" s="109"/>
      <c r="E56" s="109"/>
      <c r="F56" s="109"/>
      <c r="G56" s="110"/>
      <c r="H56" s="1"/>
      <c r="M56" s="111" t="s">
        <v>54</v>
      </c>
      <c r="N56" s="112">
        <f>IF(G57=0,"",SUM(N54:N55))</f>
        <v>4033.91</v>
      </c>
    </row>
    <row r="57" spans="1:14" ht="19.5" customHeight="1">
      <c r="A57" s="1"/>
      <c r="B57" s="183" t="s">
        <v>45</v>
      </c>
      <c r="C57" s="183"/>
      <c r="D57" s="183"/>
      <c r="E57" s="183"/>
      <c r="F57" s="183"/>
      <c r="G57" s="113">
        <v>2700</v>
      </c>
      <c r="H57" s="1"/>
      <c r="M57" s="111"/>
      <c r="N57" s="114" t="s">
        <v>356</v>
      </c>
    </row>
    <row r="58" spans="1:14" ht="19.5" customHeight="1">
      <c r="A58" s="1"/>
      <c r="B58" s="1"/>
      <c r="C58" s="1"/>
      <c r="D58" s="1"/>
      <c r="E58" s="1"/>
      <c r="F58" s="1"/>
      <c r="G58" s="1"/>
      <c r="H58" s="1"/>
      <c r="I58" s="115" t="s">
        <v>46</v>
      </c>
      <c r="J58" s="29"/>
      <c r="K58" s="29"/>
      <c r="L58" s="29"/>
      <c r="M58" s="29"/>
      <c r="N58" s="29"/>
    </row>
    <row r="59" spans="1:17" ht="12.75">
      <c r="A59" s="2"/>
      <c r="B59" s="2"/>
      <c r="C59" s="2"/>
      <c r="D59" s="2"/>
      <c r="E59" s="2"/>
      <c r="F59" s="2"/>
      <c r="H59" s="2"/>
      <c r="P59" s="116"/>
      <c r="Q59" s="116"/>
    </row>
    <row r="60" ht="28.5" customHeight="1">
      <c r="H60" s="2"/>
    </row>
    <row r="61" ht="12.75">
      <c r="H61" s="2"/>
    </row>
    <row r="80" spans="2:7" ht="12.75">
      <c r="B80" s="11"/>
      <c r="C80" s="11"/>
      <c r="G80" s="12"/>
    </row>
  </sheetData>
  <sheetProtection/>
  <mergeCells count="21">
    <mergeCell ref="B53:G55"/>
    <mergeCell ref="B57:F57"/>
    <mergeCell ref="I22:N22"/>
    <mergeCell ref="I23:N23"/>
    <mergeCell ref="I25:I26"/>
    <mergeCell ref="I27:I28"/>
    <mergeCell ref="B47:G48"/>
    <mergeCell ref="I49:L49"/>
    <mergeCell ref="M49:N49"/>
    <mergeCell ref="C8:D8"/>
    <mergeCell ref="E8:G8"/>
    <mergeCell ref="B9:G9"/>
    <mergeCell ref="B10:G11"/>
    <mergeCell ref="I11:N11"/>
    <mergeCell ref="B19:G21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Samoa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178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40091</v>
      </c>
      <c r="J13" s="119">
        <v>40161</v>
      </c>
      <c r="K13" s="44">
        <f>+J13-I13+1</f>
        <v>71</v>
      </c>
      <c r="L13" s="129">
        <v>2</v>
      </c>
      <c r="M13" s="130">
        <f>ROUND(K13*L13,2)</f>
        <v>142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82</v>
      </c>
      <c r="K20" s="125">
        <v>407.6</v>
      </c>
      <c r="L20" s="122">
        <v>0.02</v>
      </c>
      <c r="M20" s="126">
        <f>ROUND(K20*L20,2)</f>
        <v>8.15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129</v>
      </c>
      <c r="K21" s="125">
        <v>373.34</v>
      </c>
      <c r="L21" s="122">
        <v>0.12</v>
      </c>
      <c r="M21" s="126">
        <f>ROUND(K21*L21,2)</f>
        <v>44.8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33:F33"/>
    <mergeCell ref="I11:N11"/>
    <mergeCell ref="I17:N17"/>
    <mergeCell ref="I18:N18"/>
    <mergeCell ref="I25:L25"/>
    <mergeCell ref="M25:N25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Senegal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211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39872</v>
      </c>
      <c r="J13" s="119">
        <v>39927</v>
      </c>
      <c r="K13" s="44">
        <f>+J13-I13+1</f>
        <v>56</v>
      </c>
      <c r="L13" s="129">
        <v>4.7</v>
      </c>
      <c r="M13" s="130">
        <f>ROUND(K13*L13,2)</f>
        <v>263.2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40038</v>
      </c>
      <c r="J14" s="119">
        <v>40102</v>
      </c>
      <c r="K14" s="44">
        <f>+J14-I14+1</f>
        <v>65</v>
      </c>
      <c r="L14" s="129">
        <v>4.7</v>
      </c>
      <c r="M14" s="130">
        <f>ROUND(K14*L14,2)</f>
        <v>305.5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$"&amp;ROUND(SUM(B21:B25),2)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221</v>
      </c>
      <c r="J21" s="121" t="s">
        <v>28</v>
      </c>
      <c r="K21" s="125">
        <v>445.45</v>
      </c>
      <c r="L21" s="122">
        <v>0.46</v>
      </c>
      <c r="M21" s="126">
        <f>ROUND(K21*L21,2)</f>
        <v>204.91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50</v>
      </c>
      <c r="J22" s="121" t="s">
        <v>28</v>
      </c>
      <c r="K22" s="125">
        <v>359.09</v>
      </c>
      <c r="L22" s="122">
        <v>0.46</v>
      </c>
      <c r="M22" s="126">
        <f>ROUND(K22*L22,2)</f>
        <v>165.18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222</v>
      </c>
      <c r="J23" s="121" t="s">
        <v>28</v>
      </c>
      <c r="K23" s="125">
        <v>313.63</v>
      </c>
      <c r="L23" s="122">
        <v>0.46</v>
      </c>
      <c r="M23" s="126">
        <f>ROUND(K23*L23,2)</f>
        <v>144.27</v>
      </c>
      <c r="N23" s="75" t="str">
        <f>IF($G23=0,"----",M23*$G23)</f>
        <v>----</v>
      </c>
    </row>
    <row r="24" spans="1:14" ht="15" customHeigh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24" t="s">
        <v>219</v>
      </c>
      <c r="J24" s="121" t="s">
        <v>28</v>
      </c>
      <c r="K24" s="125">
        <v>288.63</v>
      </c>
      <c r="L24" s="122">
        <v>0.46</v>
      </c>
      <c r="M24" s="126">
        <f>ROUND(K24*L24,2)</f>
        <v>132.77</v>
      </c>
      <c r="N24" s="75" t="str">
        <f>IF($G24=0,"----",M24*$G24)</f>
        <v>----</v>
      </c>
    </row>
    <row r="25" spans="1:14" ht="15" customHeight="1" thickBot="1">
      <c r="A25" s="1"/>
      <c r="B25" s="72" t="str">
        <f>IF($G25=0,"----",(K25-M25)*$G25)</f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>C25+D25/29+E25/30+F25/31</f>
        <v>0</v>
      </c>
      <c r="H25" s="1"/>
      <c r="I25" s="124" t="s">
        <v>62</v>
      </c>
      <c r="J25" s="121" t="s">
        <v>28</v>
      </c>
      <c r="K25" s="125">
        <v>245.45</v>
      </c>
      <c r="L25" s="122">
        <v>0.46</v>
      </c>
      <c r="M25" s="126">
        <f>ROUND(K25*L25,2)</f>
        <v>112.91</v>
      </c>
      <c r="N25" s="75" t="str">
        <f>IF($G25=0,"----",M25*$G25)</f>
        <v>----</v>
      </c>
    </row>
    <row r="26" spans="1:16" ht="20.25" customHeight="1" thickBot="1">
      <c r="A26" s="1"/>
      <c r="B26" s="78">
        <f>SUM(B21:B25)</f>
        <v>0</v>
      </c>
      <c r="C26" s="79"/>
      <c r="D26" s="79"/>
      <c r="E26" s="79"/>
      <c r="F26" s="79"/>
      <c r="G26" s="79"/>
      <c r="H26" s="1"/>
      <c r="I26" s="80"/>
      <c r="J26" s="52"/>
      <c r="K26" s="81"/>
      <c r="L26" s="82"/>
      <c r="M26" s="54" t="s">
        <v>29</v>
      </c>
      <c r="N26" s="83" t="str">
        <f>IF(SUM(N21:N25)=0,"----",SUM((N21:N25)))</f>
        <v>----</v>
      </c>
      <c r="P26" s="84"/>
    </row>
    <row r="27" spans="1:14" ht="15" customHeight="1" thickBot="1">
      <c r="A27" s="1"/>
      <c r="B27" s="79"/>
      <c r="C27" s="79"/>
      <c r="D27" s="79"/>
      <c r="E27" s="79"/>
      <c r="F27" s="79"/>
      <c r="H27" s="1"/>
      <c r="I27" s="85"/>
      <c r="J27" s="21"/>
      <c r="K27" s="86"/>
      <c r="L27" s="87"/>
      <c r="M27" s="23"/>
      <c r="N27" s="23"/>
    </row>
    <row r="28" spans="1:17" ht="25.5" customHeight="1">
      <c r="A28" s="1"/>
      <c r="B28" s="71"/>
      <c r="C28" s="2"/>
      <c r="D28" s="2"/>
      <c r="E28" s="2"/>
      <c r="F28" s="71"/>
      <c r="H28" s="1"/>
      <c r="I28" s="24" t="s">
        <v>30</v>
      </c>
      <c r="J28" s="25"/>
      <c r="K28" s="88"/>
      <c r="L28" s="89"/>
      <c r="M28" s="90" t="s">
        <v>31</v>
      </c>
      <c r="N28" s="26"/>
      <c r="P28" s="91"/>
      <c r="Q28" s="3"/>
    </row>
    <row r="29" spans="1:17" ht="28.5" customHeight="1">
      <c r="A29" s="1"/>
      <c r="B29" s="92" t="s">
        <v>32</v>
      </c>
      <c r="C29" s="93"/>
      <c r="D29" s="93"/>
      <c r="E29" s="94"/>
      <c r="F29" s="71"/>
      <c r="G29" s="95" t="s">
        <v>33</v>
      </c>
      <c r="H29" s="1"/>
      <c r="I29" s="175" t="s">
        <v>34</v>
      </c>
      <c r="J29" s="186"/>
      <c r="K29" s="186"/>
      <c r="L29" s="186"/>
      <c r="M29" s="184" t="s">
        <v>35</v>
      </c>
      <c r="N29" s="185"/>
      <c r="P29" s="3"/>
      <c r="Q29" s="3"/>
    </row>
    <row r="30" spans="1:17" ht="45" customHeight="1">
      <c r="A30" s="1"/>
      <c r="B30" s="67" t="s">
        <v>18</v>
      </c>
      <c r="C30" s="67" t="s">
        <v>36</v>
      </c>
      <c r="D30" s="67" t="s">
        <v>37</v>
      </c>
      <c r="E30" s="67" t="s">
        <v>38</v>
      </c>
      <c r="G30" s="67" t="s">
        <v>39</v>
      </c>
      <c r="H30" s="1"/>
      <c r="I30" s="96" t="s">
        <v>27</v>
      </c>
      <c r="J30" s="97" t="s">
        <v>56</v>
      </c>
      <c r="K30" s="3"/>
      <c r="L30" s="3"/>
      <c r="M30" s="36" t="s">
        <v>40</v>
      </c>
      <c r="N30" s="37" t="s">
        <v>56</v>
      </c>
      <c r="Q30" s="3"/>
    </row>
    <row r="31" spans="1:17" ht="15" customHeight="1" thickBot="1">
      <c r="A31" s="1"/>
      <c r="B31" s="98">
        <f>SUM(C21:C25)</f>
        <v>0</v>
      </c>
      <c r="C31" s="98">
        <f>COUNTIF(D21:F25,"&gt;=16")</f>
        <v>0</v>
      </c>
      <c r="D31" s="98">
        <f>(COUNTIF(D21:F25,"&gt;0")-C31)/2</f>
        <v>0</v>
      </c>
      <c r="E31" s="98">
        <f>SUM(B31:D31)</f>
        <v>0</v>
      </c>
      <c r="G31" s="99">
        <v>0</v>
      </c>
      <c r="H31" s="1"/>
      <c r="I31" s="100">
        <v>24</v>
      </c>
      <c r="J31" s="101" t="str">
        <f>IF(E31*I31=0,"----",E31*I31)</f>
        <v>----</v>
      </c>
      <c r="K31" s="3"/>
      <c r="L31" s="3"/>
      <c r="M31" s="102">
        <v>12</v>
      </c>
      <c r="N31" s="76" t="str">
        <f>IF($G31=0,"----",M31*$G31)</f>
        <v>----</v>
      </c>
      <c r="Q31" s="3"/>
    </row>
    <row r="32" spans="1:17" ht="15" customHeight="1" thickBot="1">
      <c r="A32" s="1"/>
      <c r="B32" s="12"/>
      <c r="C32" s="12"/>
      <c r="D32" s="12"/>
      <c r="E32" s="103"/>
      <c r="F32" s="12"/>
      <c r="G32" s="12"/>
      <c r="H32" s="1"/>
      <c r="I32" s="104"/>
      <c r="J32" s="105"/>
      <c r="K32" s="105"/>
      <c r="L32" s="106"/>
      <c r="M32" s="54" t="s">
        <v>41</v>
      </c>
      <c r="N32" s="83" t="str">
        <f>IF(SUM(J31,N31)=0,"----",SUM((J31,N31)))</f>
        <v>----</v>
      </c>
      <c r="Q32" s="3"/>
    </row>
    <row r="33" spans="1:15" s="12" customFormat="1" ht="15" customHeight="1">
      <c r="A33" s="5"/>
      <c r="E33" s="2"/>
      <c r="F33" s="2"/>
      <c r="H33" s="5"/>
      <c r="I33" s="2"/>
      <c r="J33" s="2"/>
      <c r="K33" s="2"/>
      <c r="L33" s="2"/>
      <c r="M33" s="2"/>
      <c r="N33" s="2"/>
      <c r="O33" s="11"/>
    </row>
    <row r="34" spans="1:15" s="12" customFormat="1" ht="20.25" customHeight="1">
      <c r="A34" s="5"/>
      <c r="H34" s="5"/>
      <c r="I34" s="2"/>
      <c r="J34" s="2"/>
      <c r="K34" s="2"/>
      <c r="L34" s="2"/>
      <c r="M34" s="23" t="s">
        <v>42</v>
      </c>
      <c r="N34" s="107">
        <f>SUM(N15,N26,N32)</f>
        <v>0</v>
      </c>
      <c r="O34" s="11"/>
    </row>
    <row r="35" spans="1:14" ht="15.75" thickBot="1">
      <c r="A35" s="1"/>
      <c r="B35" s="2"/>
      <c r="C35" s="2"/>
      <c r="D35" s="2"/>
      <c r="E35" s="2"/>
      <c r="F35" s="2"/>
      <c r="H35" s="1"/>
      <c r="M35" s="23" t="s">
        <v>43</v>
      </c>
      <c r="N35" s="107">
        <f>IF(G37=0,"",G37)</f>
      </c>
    </row>
    <row r="36" spans="1:14" ht="19.5" customHeight="1" thickBot="1">
      <c r="A36" s="1"/>
      <c r="B36" s="108" t="s">
        <v>44</v>
      </c>
      <c r="C36" s="109"/>
      <c r="D36" s="109"/>
      <c r="E36" s="109"/>
      <c r="F36" s="109"/>
      <c r="G36" s="110"/>
      <c r="H36" s="1"/>
      <c r="M36" s="111" t="s">
        <v>54</v>
      </c>
      <c r="N36" s="112">
        <f>IF(G37=0,"",SUM(N34:N35))</f>
      </c>
    </row>
    <row r="37" spans="1:14" ht="19.5" customHeight="1">
      <c r="A37" s="1"/>
      <c r="B37" s="183" t="s">
        <v>45</v>
      </c>
      <c r="C37" s="183"/>
      <c r="D37" s="183"/>
      <c r="E37" s="183"/>
      <c r="F37" s="183"/>
      <c r="G37" s="113">
        <v>0</v>
      </c>
      <c r="H37" s="1"/>
      <c r="M37" s="111"/>
      <c r="N37" s="114" t="s">
        <v>55</v>
      </c>
    </row>
    <row r="38" spans="1:14" ht="19.5" customHeight="1">
      <c r="A38" s="1"/>
      <c r="B38" s="1"/>
      <c r="C38" s="1"/>
      <c r="D38" s="1"/>
      <c r="E38" s="1"/>
      <c r="F38" s="1"/>
      <c r="G38" s="1"/>
      <c r="H38" s="1"/>
      <c r="I38" s="115" t="s">
        <v>46</v>
      </c>
      <c r="J38" s="29"/>
      <c r="K38" s="29"/>
      <c r="L38" s="29"/>
      <c r="M38" s="29"/>
      <c r="N38" s="29"/>
    </row>
    <row r="39" spans="1:17" ht="12.75">
      <c r="A39" s="2"/>
      <c r="B39" s="2"/>
      <c r="C39" s="2"/>
      <c r="D39" s="2"/>
      <c r="E39" s="2"/>
      <c r="F39" s="2"/>
      <c r="H39" s="2"/>
      <c r="P39" s="116"/>
      <c r="Q39" s="116"/>
    </row>
    <row r="40" ht="28.5" customHeight="1">
      <c r="H40" s="2"/>
    </row>
    <row r="41" ht="12.75">
      <c r="H41" s="2"/>
    </row>
    <row r="60" spans="2:7" ht="12.75">
      <c r="B60" s="11"/>
      <c r="C60" s="11"/>
      <c r="G60" s="12"/>
    </row>
  </sheetData>
  <sheetProtection/>
  <mergeCells count="14">
    <mergeCell ref="B37:F37"/>
    <mergeCell ref="I11:N11"/>
    <mergeCell ref="I18:N18"/>
    <mergeCell ref="I19:N19"/>
    <mergeCell ref="I29:L29"/>
    <mergeCell ref="M29:N29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South Africa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79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80</v>
      </c>
      <c r="F8" s="173"/>
      <c r="G8" s="173"/>
      <c r="H8" s="1"/>
      <c r="K8" s="15" t="s">
        <v>53</v>
      </c>
      <c r="L8" s="18" t="str">
        <f>E8</f>
        <v>Jan xx - Dec xx 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39848</v>
      </c>
      <c r="J13" s="119">
        <v>39904</v>
      </c>
      <c r="K13" s="44">
        <f>+J13-I13+1</f>
        <v>57</v>
      </c>
      <c r="L13" s="120">
        <v>1.91</v>
      </c>
      <c r="M13" s="45">
        <f>ROUND(K13*L13,2)</f>
        <v>108.87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40018</v>
      </c>
      <c r="J14" s="119">
        <v>40073</v>
      </c>
      <c r="K14" s="44">
        <f>+J14-I14+1</f>
        <v>56</v>
      </c>
      <c r="L14" s="120">
        <v>1.91</v>
      </c>
      <c r="M14" s="45">
        <f>ROUND(K14*L14,2)</f>
        <v>106.96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$"&amp;ROUND(SUM(B21:B21),2)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28</v>
      </c>
      <c r="K21" s="125">
        <v>280.26</v>
      </c>
      <c r="L21" s="122">
        <v>0.37</v>
      </c>
      <c r="M21" s="126">
        <f>ROUND(K21*L21,2)</f>
        <v>103.7</v>
      </c>
      <c r="N21" s="75" t="str">
        <f>IF($G21=0,"----",M21*$G21)</f>
        <v>----</v>
      </c>
    </row>
    <row r="22" spans="1:16" ht="20.25" customHeight="1" thickBot="1">
      <c r="A22" s="1"/>
      <c r="B22" s="78">
        <f>SUM(B21:B21)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IF(SUM(N21:N21)=0,"----",SUM((N21:N21)))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SUM(C21:C21)</f>
        <v>0</v>
      </c>
      <c r="C27" s="98">
        <f>COUNTIF(D21:F21,"&gt;=16")</f>
        <v>0</v>
      </c>
      <c r="D27" s="98">
        <f>(COUNTIF(D21:F21,"&gt;0")-C27)/2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SUM(N15,N22,N28)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33:F33"/>
    <mergeCell ref="I11:N11"/>
    <mergeCell ref="I18:N18"/>
    <mergeCell ref="I19:N19"/>
    <mergeCell ref="I25:L25"/>
    <mergeCell ref="M25:N25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Suriname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205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39951</v>
      </c>
      <c r="J13" s="119">
        <v>40024</v>
      </c>
      <c r="K13" s="44">
        <f>+J13-I13+1</f>
        <v>74</v>
      </c>
      <c r="L13" s="129">
        <v>1.79</v>
      </c>
      <c r="M13" s="130">
        <f>ROUND(K13*L13,2)</f>
        <v>132.46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28</v>
      </c>
      <c r="K20" s="125">
        <v>235.72</v>
      </c>
      <c r="L20" s="122">
        <v>0.24</v>
      </c>
      <c r="M20" s="126">
        <f>ROUND(K20*L20,2)</f>
        <v>56.57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32:F32"/>
    <mergeCell ref="I11:N11"/>
    <mergeCell ref="I17:N17"/>
    <mergeCell ref="I18:N18"/>
    <mergeCell ref="I24:L24"/>
    <mergeCell ref="M24:N24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Swaziland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77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39989</v>
      </c>
      <c r="J13" s="119">
        <v>40052</v>
      </c>
      <c r="K13" s="44">
        <f>+J13-I13+1</f>
        <v>64</v>
      </c>
      <c r="L13" s="129">
        <v>3.39</v>
      </c>
      <c r="M13" s="130">
        <f>ROUND(K13*L13,2)</f>
        <v>216.96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28</v>
      </c>
      <c r="K20" s="125">
        <v>296.05</v>
      </c>
      <c r="L20" s="122">
        <v>0.1</v>
      </c>
      <c r="M20" s="126">
        <f>ROUND(K20*L20,2)</f>
        <v>29.61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2:F32"/>
    <mergeCell ref="I11:N11"/>
    <mergeCell ref="I17:N17"/>
    <mergeCell ref="I18:N18"/>
    <mergeCell ref="I24:L24"/>
    <mergeCell ref="M24:N24"/>
  </mergeCells>
  <printOptions/>
  <pageMargins left="0.75" right="0.75" top="1" bottom="1" header="0.5" footer="0.5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</sheetPr>
  <dimension ref="A1:Q5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Tanzania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196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39980</v>
      </c>
      <c r="J13" s="119">
        <v>40044</v>
      </c>
      <c r="K13" s="44">
        <f>+J13-I13+1</f>
        <v>65</v>
      </c>
      <c r="L13" s="129">
        <v>2.59</v>
      </c>
      <c r="M13" s="130">
        <f>ROUND(K13*L13,2)</f>
        <v>168.35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40079</v>
      </c>
      <c r="J14" s="119">
        <v>40142</v>
      </c>
      <c r="K14" s="44">
        <f>+J14-I14+1</f>
        <v>64</v>
      </c>
      <c r="L14" s="129">
        <v>3.04</v>
      </c>
      <c r="M14" s="130">
        <f>ROUND(K14*L14,2)</f>
        <v>194.56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$"&amp;ROUND(SUM(B21:B24),2)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37" t="s">
        <v>197</v>
      </c>
      <c r="J21" s="134" t="s">
        <v>76</v>
      </c>
      <c r="K21" s="135">
        <v>206.46</v>
      </c>
      <c r="L21" s="122">
        <v>0.3</v>
      </c>
      <c r="M21" s="126">
        <f>ROUND(K21*L21,2)</f>
        <v>61.94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33" t="s">
        <v>198</v>
      </c>
      <c r="J22" s="134" t="s">
        <v>76</v>
      </c>
      <c r="K22" s="135">
        <v>172.42</v>
      </c>
      <c r="L22" s="122">
        <v>0.3</v>
      </c>
      <c r="M22" s="126">
        <f>ROUND(K22*L22,2)</f>
        <v>51.73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33" t="s">
        <v>197</v>
      </c>
      <c r="J23" s="134" t="s">
        <v>135</v>
      </c>
      <c r="K23" s="135">
        <v>206.46</v>
      </c>
      <c r="L23" s="122">
        <v>0.3</v>
      </c>
      <c r="M23" s="126">
        <f>ROUND(K23*L23,2)</f>
        <v>61.94</v>
      </c>
      <c r="N23" s="75" t="str">
        <f>IF($G23=0,"----",M23*$G23)</f>
        <v>----</v>
      </c>
    </row>
    <row r="24" spans="1:14" ht="15" customHeight="1" thickBo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37" t="s">
        <v>198</v>
      </c>
      <c r="J24" s="134" t="s">
        <v>135</v>
      </c>
      <c r="K24" s="135">
        <v>185.49</v>
      </c>
      <c r="L24" s="122">
        <v>0.3</v>
      </c>
      <c r="M24" s="126">
        <f>ROUND(K24*L24,2)</f>
        <v>55.65</v>
      </c>
      <c r="N24" s="75" t="str">
        <f>IF($G24=0,"----",M24*$G24)</f>
        <v>----</v>
      </c>
    </row>
    <row r="25" spans="1:16" ht="20.25" customHeight="1" thickBot="1">
      <c r="A25" s="1"/>
      <c r="B25" s="78">
        <f>SUM(B21:B24)</f>
        <v>0</v>
      </c>
      <c r="C25" s="79"/>
      <c r="D25" s="79"/>
      <c r="E25" s="79"/>
      <c r="F25" s="79"/>
      <c r="G25" s="79"/>
      <c r="H25" s="1"/>
      <c r="I25" s="80"/>
      <c r="J25" s="52"/>
      <c r="K25" s="81"/>
      <c r="L25" s="82"/>
      <c r="M25" s="54" t="s">
        <v>29</v>
      </c>
      <c r="N25" s="83" t="str">
        <f>IF(SUM(N21:N24)=0,"----",SUM((N21:N24)))</f>
        <v>----</v>
      </c>
      <c r="P25" s="84"/>
    </row>
    <row r="26" spans="1:14" ht="15" customHeight="1" thickBot="1">
      <c r="A26" s="1"/>
      <c r="B26" s="79"/>
      <c r="C26" s="79"/>
      <c r="D26" s="79"/>
      <c r="E26" s="79"/>
      <c r="F26" s="79"/>
      <c r="H26" s="1"/>
      <c r="I26" s="85"/>
      <c r="J26" s="21"/>
      <c r="K26" s="86"/>
      <c r="L26" s="87"/>
      <c r="M26" s="23"/>
      <c r="N26" s="23"/>
    </row>
    <row r="27" spans="1:17" ht="25.5" customHeight="1">
      <c r="A27" s="1"/>
      <c r="B27" s="71"/>
      <c r="C27" s="2"/>
      <c r="D27" s="2"/>
      <c r="E27" s="2"/>
      <c r="F27" s="71"/>
      <c r="H27" s="1"/>
      <c r="I27" s="24" t="s">
        <v>30</v>
      </c>
      <c r="J27" s="25"/>
      <c r="K27" s="88"/>
      <c r="L27" s="89"/>
      <c r="M27" s="90" t="s">
        <v>31</v>
      </c>
      <c r="N27" s="26"/>
      <c r="P27" s="91"/>
      <c r="Q27" s="3"/>
    </row>
    <row r="28" spans="1:17" ht="28.5" customHeight="1">
      <c r="A28" s="1"/>
      <c r="B28" s="92" t="s">
        <v>32</v>
      </c>
      <c r="C28" s="93"/>
      <c r="D28" s="93"/>
      <c r="E28" s="94"/>
      <c r="F28" s="71"/>
      <c r="G28" s="95" t="s">
        <v>33</v>
      </c>
      <c r="H28" s="1"/>
      <c r="I28" s="175" t="s">
        <v>34</v>
      </c>
      <c r="J28" s="186"/>
      <c r="K28" s="186"/>
      <c r="L28" s="186"/>
      <c r="M28" s="184" t="s">
        <v>35</v>
      </c>
      <c r="N28" s="185"/>
      <c r="P28" s="3"/>
      <c r="Q28" s="3"/>
    </row>
    <row r="29" spans="1:17" ht="45" customHeight="1">
      <c r="A29" s="1"/>
      <c r="B29" s="67" t="s">
        <v>18</v>
      </c>
      <c r="C29" s="67" t="s">
        <v>36</v>
      </c>
      <c r="D29" s="67" t="s">
        <v>37</v>
      </c>
      <c r="E29" s="67" t="s">
        <v>38</v>
      </c>
      <c r="G29" s="67" t="s">
        <v>39</v>
      </c>
      <c r="H29" s="1"/>
      <c r="I29" s="96" t="s">
        <v>27</v>
      </c>
      <c r="J29" s="97" t="s">
        <v>56</v>
      </c>
      <c r="K29" s="3"/>
      <c r="L29" s="3"/>
      <c r="M29" s="36" t="s">
        <v>40</v>
      </c>
      <c r="N29" s="37" t="s">
        <v>56</v>
      </c>
      <c r="Q29" s="3"/>
    </row>
    <row r="30" spans="1:17" ht="15" customHeight="1" thickBot="1">
      <c r="A30" s="1"/>
      <c r="B30" s="98">
        <f>SUM(C21:C24)</f>
        <v>0</v>
      </c>
      <c r="C30" s="98">
        <f>COUNTIF(D21:F24,"&gt;=16")</f>
        <v>0</v>
      </c>
      <c r="D30" s="98">
        <f>(COUNTIF(D21:F24,"&gt;0")-C30)/2</f>
        <v>0</v>
      </c>
      <c r="E30" s="98">
        <f>SUM(B30:D30)</f>
        <v>0</v>
      </c>
      <c r="G30" s="99">
        <v>0</v>
      </c>
      <c r="H30" s="1"/>
      <c r="I30" s="100">
        <v>24</v>
      </c>
      <c r="J30" s="101" t="str">
        <f>IF(E30*I30=0,"----",E30*I30)</f>
        <v>----</v>
      </c>
      <c r="K30" s="3"/>
      <c r="L30" s="3"/>
      <c r="M30" s="102">
        <v>12</v>
      </c>
      <c r="N30" s="76" t="str">
        <f>IF($G30=0,"----",M30*$G30)</f>
        <v>----</v>
      </c>
      <c r="Q30" s="3"/>
    </row>
    <row r="31" spans="1:17" ht="15" customHeight="1" thickBot="1">
      <c r="A31" s="1"/>
      <c r="B31" s="12"/>
      <c r="C31" s="12"/>
      <c r="D31" s="12"/>
      <c r="E31" s="103"/>
      <c r="F31" s="12"/>
      <c r="G31" s="12"/>
      <c r="H31" s="1"/>
      <c r="I31" s="104"/>
      <c r="J31" s="105"/>
      <c r="K31" s="105"/>
      <c r="L31" s="106"/>
      <c r="M31" s="54" t="s">
        <v>41</v>
      </c>
      <c r="N31" s="83" t="str">
        <f>IF(SUM(J30,N30)=0,"----",SUM((J30,N30)))</f>
        <v>----</v>
      </c>
      <c r="Q31" s="3"/>
    </row>
    <row r="32" spans="1:15" s="12" customFormat="1" ht="15" customHeight="1">
      <c r="A32" s="5"/>
      <c r="E32" s="2"/>
      <c r="F32" s="2"/>
      <c r="H32" s="5"/>
      <c r="I32" s="2"/>
      <c r="J32" s="2"/>
      <c r="K32" s="2"/>
      <c r="L32" s="2"/>
      <c r="M32" s="2"/>
      <c r="N32" s="2"/>
      <c r="O32" s="11"/>
    </row>
    <row r="33" spans="1:15" s="12" customFormat="1" ht="20.25" customHeight="1">
      <c r="A33" s="5"/>
      <c r="H33" s="5"/>
      <c r="I33" s="2"/>
      <c r="J33" s="2"/>
      <c r="K33" s="2"/>
      <c r="L33" s="2"/>
      <c r="M33" s="23" t="s">
        <v>42</v>
      </c>
      <c r="N33" s="107">
        <f>SUM(N15,N25,N31)</f>
        <v>0</v>
      </c>
      <c r="O33" s="11"/>
    </row>
    <row r="34" spans="1:14" ht="15.75" thickBot="1">
      <c r="A34" s="1"/>
      <c r="B34" s="2"/>
      <c r="C34" s="2"/>
      <c r="D34" s="2"/>
      <c r="E34" s="2"/>
      <c r="F34" s="2"/>
      <c r="H34" s="1"/>
      <c r="M34" s="23" t="s">
        <v>43</v>
      </c>
      <c r="N34" s="107">
        <f>IF(G36=0,"",G36)</f>
      </c>
    </row>
    <row r="35" spans="1:14" ht="19.5" customHeight="1" thickBot="1">
      <c r="A35" s="1"/>
      <c r="B35" s="108" t="s">
        <v>44</v>
      </c>
      <c r="C35" s="109"/>
      <c r="D35" s="109"/>
      <c r="E35" s="109"/>
      <c r="F35" s="109"/>
      <c r="G35" s="110"/>
      <c r="H35" s="1"/>
      <c r="M35" s="111" t="s">
        <v>54</v>
      </c>
      <c r="N35" s="112">
        <f>IF(G36=0,"",SUM(N33:N34))</f>
      </c>
    </row>
    <row r="36" spans="1:14" ht="19.5" customHeight="1">
      <c r="A36" s="1"/>
      <c r="B36" s="183" t="s">
        <v>45</v>
      </c>
      <c r="C36" s="183"/>
      <c r="D36" s="183"/>
      <c r="E36" s="183"/>
      <c r="F36" s="183"/>
      <c r="G36" s="113">
        <v>0</v>
      </c>
      <c r="H36" s="1"/>
      <c r="M36" s="111"/>
      <c r="N36" s="114" t="s">
        <v>55</v>
      </c>
    </row>
    <row r="37" spans="1:14" ht="19.5" customHeight="1">
      <c r="A37" s="1"/>
      <c r="B37" s="1"/>
      <c r="C37" s="1"/>
      <c r="D37" s="1"/>
      <c r="E37" s="1"/>
      <c r="F37" s="1"/>
      <c r="G37" s="1"/>
      <c r="H37" s="1"/>
      <c r="I37" s="115" t="s">
        <v>46</v>
      </c>
      <c r="J37" s="29"/>
      <c r="K37" s="29"/>
      <c r="L37" s="29"/>
      <c r="M37" s="29"/>
      <c r="N37" s="29"/>
    </row>
    <row r="38" spans="1:17" ht="12.75">
      <c r="A38" s="2"/>
      <c r="B38" s="2"/>
      <c r="C38" s="2"/>
      <c r="D38" s="2"/>
      <c r="E38" s="2"/>
      <c r="F38" s="2"/>
      <c r="H38" s="2"/>
      <c r="P38" s="116"/>
      <c r="Q38" s="116"/>
    </row>
    <row r="39" ht="28.5" customHeight="1">
      <c r="H39" s="2"/>
    </row>
    <row r="40" ht="12.75">
      <c r="H40" s="2"/>
    </row>
    <row r="59" spans="2:7" ht="12.75">
      <c r="B59" s="11"/>
      <c r="C59" s="11"/>
      <c r="G59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6:F36"/>
    <mergeCell ref="I11:N11"/>
    <mergeCell ref="I18:N18"/>
    <mergeCell ref="I19:N19"/>
    <mergeCell ref="I28:L28"/>
    <mergeCell ref="M28:N28"/>
  </mergeCells>
  <printOptions/>
  <pageMargins left="0.75" right="0.75" top="1" bottom="1" header="0.5" footer="0.5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Thailand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66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39841</v>
      </c>
      <c r="J13" s="119">
        <v>39912</v>
      </c>
      <c r="K13" s="44">
        <f>+J13-I13+1</f>
        <v>72</v>
      </c>
      <c r="L13" s="129">
        <v>3.47</v>
      </c>
      <c r="M13" s="130">
        <f>ROUND(K13*L13,2)</f>
        <v>249.84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28</v>
      </c>
      <c r="K20" s="125">
        <v>224.22</v>
      </c>
      <c r="L20" s="122">
        <v>0.59</v>
      </c>
      <c r="M20" s="126">
        <f>ROUND(K20*L20,2)</f>
        <v>132.29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2:F32"/>
    <mergeCell ref="I11:N11"/>
    <mergeCell ref="I17:N17"/>
    <mergeCell ref="I18:N18"/>
    <mergeCell ref="I24:L24"/>
    <mergeCell ref="M24:N24"/>
  </mergeCells>
  <printOptions/>
  <pageMargins left="0.75" right="0.75" top="1" bottom="1" header="0.5" footer="0.5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Togo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78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39970</v>
      </c>
      <c r="J13" s="119">
        <v>40045</v>
      </c>
      <c r="K13" s="44">
        <f>+J13-I13+1</f>
        <v>76</v>
      </c>
      <c r="L13" s="120">
        <v>1.75</v>
      </c>
      <c r="M13" s="45">
        <f>ROUND(K13*L13,2)</f>
        <v>133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40075</v>
      </c>
      <c r="J14" s="119">
        <v>40150</v>
      </c>
      <c r="K14" s="44">
        <f>+J14-I14+1</f>
        <v>76</v>
      </c>
      <c r="L14" s="120">
        <v>1.75</v>
      </c>
      <c r="M14" s="45">
        <f>ROUND(K14*L14,2)</f>
        <v>133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$"&amp;ROUND(SUM(B21:B22),2)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83</v>
      </c>
      <c r="J21" s="121" t="s">
        <v>82</v>
      </c>
      <c r="K21" s="125">
        <v>293.18</v>
      </c>
      <c r="L21" s="122">
        <v>0.44</v>
      </c>
      <c r="M21" s="126">
        <f>ROUND(K21*L21,2)</f>
        <v>129</v>
      </c>
      <c r="N21" s="75" t="str">
        <f>IF($G21=0,"----",M21*$G21)</f>
        <v>----</v>
      </c>
    </row>
    <row r="22" spans="1:14" ht="15" customHeight="1" thickBo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83</v>
      </c>
      <c r="J22" s="121" t="s">
        <v>139</v>
      </c>
      <c r="K22" s="125">
        <v>257.49</v>
      </c>
      <c r="L22" s="122">
        <v>0.44</v>
      </c>
      <c r="M22" s="126">
        <f>ROUND(K22*L22,2)</f>
        <v>113.3</v>
      </c>
      <c r="N22" s="75" t="str">
        <f>IF($G22=0,"----",M22*$G22)</f>
        <v>----</v>
      </c>
    </row>
    <row r="23" spans="1:16" ht="20.25" customHeight="1" thickBot="1">
      <c r="A23" s="1"/>
      <c r="B23" s="78">
        <f>SUM(B21:B22)</f>
        <v>0</v>
      </c>
      <c r="C23" s="79"/>
      <c r="D23" s="79"/>
      <c r="E23" s="79"/>
      <c r="F23" s="79"/>
      <c r="G23" s="79"/>
      <c r="H23" s="1"/>
      <c r="I23" s="80"/>
      <c r="J23" s="52"/>
      <c r="K23" s="81"/>
      <c r="L23" s="82"/>
      <c r="M23" s="54" t="s">
        <v>29</v>
      </c>
      <c r="N23" s="83" t="str">
        <f>IF(SUM(N21:N22)=0,"----",SUM((N21:N22)))</f>
        <v>----</v>
      </c>
      <c r="P23" s="84"/>
    </row>
    <row r="24" spans="1:14" ht="15" customHeight="1" thickBot="1">
      <c r="A24" s="1"/>
      <c r="B24" s="79"/>
      <c r="C24" s="79"/>
      <c r="D24" s="79"/>
      <c r="E24" s="79"/>
      <c r="F24" s="79"/>
      <c r="H24" s="1"/>
      <c r="I24" s="85"/>
      <c r="J24" s="21"/>
      <c r="K24" s="86"/>
      <c r="L24" s="87"/>
      <c r="M24" s="23"/>
      <c r="N24" s="23"/>
    </row>
    <row r="25" spans="1:17" ht="25.5" customHeight="1">
      <c r="A25" s="1"/>
      <c r="B25" s="71"/>
      <c r="C25" s="2"/>
      <c r="D25" s="2"/>
      <c r="E25" s="2"/>
      <c r="F25" s="71"/>
      <c r="H25" s="1"/>
      <c r="I25" s="24" t="s">
        <v>30</v>
      </c>
      <c r="J25" s="25"/>
      <c r="K25" s="88"/>
      <c r="L25" s="89"/>
      <c r="M25" s="90" t="s">
        <v>31</v>
      </c>
      <c r="N25" s="26"/>
      <c r="P25" s="91"/>
      <c r="Q25" s="3"/>
    </row>
    <row r="26" spans="1:17" ht="28.5" customHeight="1">
      <c r="A26" s="1"/>
      <c r="B26" s="92" t="s">
        <v>32</v>
      </c>
      <c r="C26" s="93"/>
      <c r="D26" s="93"/>
      <c r="E26" s="94"/>
      <c r="F26" s="71"/>
      <c r="G26" s="95" t="s">
        <v>33</v>
      </c>
      <c r="H26" s="1"/>
      <c r="I26" s="175" t="s">
        <v>34</v>
      </c>
      <c r="J26" s="186"/>
      <c r="K26" s="186"/>
      <c r="L26" s="186"/>
      <c r="M26" s="184" t="s">
        <v>35</v>
      </c>
      <c r="N26" s="185"/>
      <c r="P26" s="3"/>
      <c r="Q26" s="3"/>
    </row>
    <row r="27" spans="1:17" ht="45" customHeight="1">
      <c r="A27" s="1"/>
      <c r="B27" s="67" t="s">
        <v>18</v>
      </c>
      <c r="C27" s="67" t="s">
        <v>36</v>
      </c>
      <c r="D27" s="67" t="s">
        <v>37</v>
      </c>
      <c r="E27" s="67" t="s">
        <v>38</v>
      </c>
      <c r="G27" s="67" t="s">
        <v>39</v>
      </c>
      <c r="H27" s="1"/>
      <c r="I27" s="96" t="s">
        <v>27</v>
      </c>
      <c r="J27" s="97" t="s">
        <v>56</v>
      </c>
      <c r="K27" s="3"/>
      <c r="L27" s="3"/>
      <c r="M27" s="36" t="s">
        <v>40</v>
      </c>
      <c r="N27" s="37" t="s">
        <v>56</v>
      </c>
      <c r="Q27" s="3"/>
    </row>
    <row r="28" spans="1:17" ht="15" customHeight="1" thickBot="1">
      <c r="A28" s="1"/>
      <c r="B28" s="98">
        <f>SUM(C21:C22)</f>
        <v>0</v>
      </c>
      <c r="C28" s="98">
        <f>COUNTIF(D21:F22,"&gt;=16")</f>
        <v>0</v>
      </c>
      <c r="D28" s="98">
        <f>(COUNTIF(D21:F22,"&gt;0")-C28)/2</f>
        <v>0</v>
      </c>
      <c r="E28" s="98">
        <f>SUM(B28:D28)</f>
        <v>0</v>
      </c>
      <c r="G28" s="99">
        <v>0</v>
      </c>
      <c r="H28" s="1"/>
      <c r="I28" s="100">
        <v>24</v>
      </c>
      <c r="J28" s="101" t="str">
        <f>IF(E28*I28=0,"----",E28*I28)</f>
        <v>----</v>
      </c>
      <c r="K28" s="3"/>
      <c r="L28" s="3"/>
      <c r="M28" s="102">
        <v>12</v>
      </c>
      <c r="N28" s="76" t="str">
        <f>IF($G28=0,"----",M28*$G28)</f>
        <v>----</v>
      </c>
      <c r="Q28" s="3"/>
    </row>
    <row r="29" spans="1:17" ht="15" customHeight="1" thickBot="1">
      <c r="A29" s="1"/>
      <c r="B29" s="12"/>
      <c r="C29" s="12"/>
      <c r="D29" s="12"/>
      <c r="E29" s="103"/>
      <c r="F29" s="12"/>
      <c r="G29" s="12"/>
      <c r="H29" s="1"/>
      <c r="I29" s="104"/>
      <c r="J29" s="105"/>
      <c r="K29" s="105"/>
      <c r="L29" s="106"/>
      <c r="M29" s="54" t="s">
        <v>41</v>
      </c>
      <c r="N29" s="83" t="str">
        <f>IF(SUM(J28,N28)=0,"----",SUM((J28,N28)))</f>
        <v>----</v>
      </c>
      <c r="Q29" s="3"/>
    </row>
    <row r="30" spans="1:15" s="12" customFormat="1" ht="15" customHeight="1">
      <c r="A30" s="5"/>
      <c r="E30" s="2"/>
      <c r="F30" s="2"/>
      <c r="H30" s="5"/>
      <c r="I30" s="2"/>
      <c r="J30" s="2"/>
      <c r="K30" s="2"/>
      <c r="L30" s="2"/>
      <c r="M30" s="2"/>
      <c r="N30" s="2"/>
      <c r="O30" s="11"/>
    </row>
    <row r="31" spans="1:15" s="12" customFormat="1" ht="20.25" customHeight="1">
      <c r="A31" s="5"/>
      <c r="H31" s="5"/>
      <c r="I31" s="2"/>
      <c r="J31" s="2"/>
      <c r="K31" s="2"/>
      <c r="L31" s="2"/>
      <c r="M31" s="23" t="s">
        <v>42</v>
      </c>
      <c r="N31" s="107">
        <f>SUM(N15,N23,N29)</f>
        <v>0</v>
      </c>
      <c r="O31" s="11"/>
    </row>
    <row r="32" spans="1:14" ht="15.75" thickBot="1">
      <c r="A32" s="1"/>
      <c r="B32" s="2"/>
      <c r="C32" s="2"/>
      <c r="D32" s="2"/>
      <c r="E32" s="2"/>
      <c r="F32" s="2"/>
      <c r="H32" s="1"/>
      <c r="M32" s="23" t="s">
        <v>43</v>
      </c>
      <c r="N32" s="107">
        <f>IF(G34=0,"",G34)</f>
      </c>
    </row>
    <row r="33" spans="1:14" ht="19.5" customHeight="1" thickBot="1">
      <c r="A33" s="1"/>
      <c r="B33" s="108" t="s">
        <v>44</v>
      </c>
      <c r="C33" s="109"/>
      <c r="D33" s="109"/>
      <c r="E33" s="109"/>
      <c r="F33" s="109"/>
      <c r="G33" s="110"/>
      <c r="H33" s="1"/>
      <c r="M33" s="111" t="s">
        <v>54</v>
      </c>
      <c r="N33" s="112">
        <f>IF(G34=0,"",SUM(N31:N32))</f>
      </c>
    </row>
    <row r="34" spans="1:14" ht="19.5" customHeight="1">
      <c r="A34" s="1"/>
      <c r="B34" s="183" t="s">
        <v>45</v>
      </c>
      <c r="C34" s="183"/>
      <c r="D34" s="183"/>
      <c r="E34" s="183"/>
      <c r="F34" s="183"/>
      <c r="G34" s="113">
        <v>0</v>
      </c>
      <c r="H34" s="1"/>
      <c r="M34" s="111"/>
      <c r="N34" s="114" t="s">
        <v>55</v>
      </c>
    </row>
    <row r="35" spans="1:14" ht="19.5" customHeight="1">
      <c r="A35" s="1"/>
      <c r="B35" s="1"/>
      <c r="C35" s="1"/>
      <c r="D35" s="1"/>
      <c r="E35" s="1"/>
      <c r="F35" s="1"/>
      <c r="G35" s="1"/>
      <c r="H35" s="1"/>
      <c r="I35" s="115" t="s">
        <v>46</v>
      </c>
      <c r="J35" s="29"/>
      <c r="K35" s="29"/>
      <c r="L35" s="29"/>
      <c r="M35" s="29"/>
      <c r="N35" s="29"/>
    </row>
    <row r="36" spans="1:17" ht="12.75">
      <c r="A36" s="2"/>
      <c r="B36" s="2"/>
      <c r="C36" s="2"/>
      <c r="D36" s="2"/>
      <c r="E36" s="2"/>
      <c r="F36" s="2"/>
      <c r="H36" s="2"/>
      <c r="P36" s="116"/>
      <c r="Q36" s="116"/>
    </row>
    <row r="37" ht="28.5" customHeight="1">
      <c r="H37" s="2"/>
    </row>
    <row r="38" ht="12.75">
      <c r="H38" s="2"/>
    </row>
    <row r="57" spans="2:7" ht="12.75">
      <c r="B57" s="11"/>
      <c r="C57" s="11"/>
      <c r="G57" s="12"/>
    </row>
  </sheetData>
  <sheetProtection/>
  <mergeCells count="14">
    <mergeCell ref="B34:F34"/>
    <mergeCell ref="I11:N11"/>
    <mergeCell ref="I18:N18"/>
    <mergeCell ref="I19:N19"/>
    <mergeCell ref="I26:L26"/>
    <mergeCell ref="M26:N26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Tonga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216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40094</v>
      </c>
      <c r="J13" s="119">
        <v>40163</v>
      </c>
      <c r="K13" s="44">
        <f>+J13-I13+1</f>
        <v>70</v>
      </c>
      <c r="L13" s="129">
        <v>4.71</v>
      </c>
      <c r="M13" s="130">
        <f>ROUND(K13*L13,2)</f>
        <v>329.7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40094</v>
      </c>
      <c r="J14" s="119">
        <v>40129</v>
      </c>
      <c r="K14" s="44">
        <f>+J14-I14+1</f>
        <v>36</v>
      </c>
      <c r="L14" s="129">
        <v>4.71</v>
      </c>
      <c r="M14" s="130">
        <f>ROUND(K14*L14,2)</f>
        <v>169.56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$"&amp;ROUND(SUM(B21:B22),2)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82</v>
      </c>
      <c r="K21" s="125">
        <v>312</v>
      </c>
      <c r="L21" s="122">
        <v>0.14</v>
      </c>
      <c r="M21" s="126">
        <f>ROUND(K21*L21,2)</f>
        <v>43.68</v>
      </c>
      <c r="N21" s="75" t="str">
        <f>IF($G21=0,"----",M21*$G21)</f>
        <v>----</v>
      </c>
    </row>
    <row r="22" spans="1:14" ht="15" customHeight="1" thickBo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64</v>
      </c>
      <c r="J22" s="121" t="s">
        <v>129</v>
      </c>
      <c r="K22" s="125">
        <v>312</v>
      </c>
      <c r="L22" s="122">
        <v>0.03</v>
      </c>
      <c r="M22" s="126">
        <f>ROUND(K22*L22,2)</f>
        <v>9.36</v>
      </c>
      <c r="N22" s="75" t="str">
        <f>IF($G22=0,"----",M22*$G22)</f>
        <v>----</v>
      </c>
    </row>
    <row r="23" spans="1:16" ht="20.25" customHeight="1" thickBot="1">
      <c r="A23" s="1"/>
      <c r="B23" s="78">
        <f>SUM(B21:B22)</f>
        <v>0</v>
      </c>
      <c r="C23" s="79"/>
      <c r="D23" s="79"/>
      <c r="E23" s="79"/>
      <c r="F23" s="79"/>
      <c r="G23" s="79"/>
      <c r="H23" s="1"/>
      <c r="I23" s="80"/>
      <c r="J23" s="52"/>
      <c r="K23" s="81"/>
      <c r="L23" s="82"/>
      <c r="M23" s="54" t="s">
        <v>29</v>
      </c>
      <c r="N23" s="83" t="str">
        <f>IF(SUM(N21:N22)=0,"----",SUM((N21:N22)))</f>
        <v>----</v>
      </c>
      <c r="P23" s="84"/>
    </row>
    <row r="24" spans="1:14" ht="15" customHeight="1" thickBot="1">
      <c r="A24" s="1"/>
      <c r="B24" s="79"/>
      <c r="C24" s="79"/>
      <c r="D24" s="79"/>
      <c r="E24" s="79"/>
      <c r="F24" s="79"/>
      <c r="H24" s="1"/>
      <c r="I24" s="85"/>
      <c r="J24" s="21"/>
      <c r="K24" s="86"/>
      <c r="L24" s="87"/>
      <c r="M24" s="23"/>
      <c r="N24" s="23"/>
    </row>
    <row r="25" spans="1:17" ht="25.5" customHeight="1">
      <c r="A25" s="1"/>
      <c r="B25" s="71"/>
      <c r="C25" s="2"/>
      <c r="D25" s="2"/>
      <c r="E25" s="2"/>
      <c r="F25" s="71"/>
      <c r="H25" s="1"/>
      <c r="I25" s="24" t="s">
        <v>30</v>
      </c>
      <c r="J25" s="25"/>
      <c r="K25" s="88"/>
      <c r="L25" s="89"/>
      <c r="M25" s="90" t="s">
        <v>31</v>
      </c>
      <c r="N25" s="26"/>
      <c r="P25" s="91"/>
      <c r="Q25" s="3"/>
    </row>
    <row r="26" spans="1:17" ht="28.5" customHeight="1">
      <c r="A26" s="1"/>
      <c r="B26" s="92" t="s">
        <v>32</v>
      </c>
      <c r="C26" s="93"/>
      <c r="D26" s="93"/>
      <c r="E26" s="94"/>
      <c r="F26" s="71"/>
      <c r="G26" s="95" t="s">
        <v>33</v>
      </c>
      <c r="H26" s="1"/>
      <c r="I26" s="175" t="s">
        <v>34</v>
      </c>
      <c r="J26" s="186"/>
      <c r="K26" s="186"/>
      <c r="L26" s="186"/>
      <c r="M26" s="184" t="s">
        <v>35</v>
      </c>
      <c r="N26" s="185"/>
      <c r="P26" s="3"/>
      <c r="Q26" s="3"/>
    </row>
    <row r="27" spans="1:17" ht="45" customHeight="1">
      <c r="A27" s="1"/>
      <c r="B27" s="67" t="s">
        <v>18</v>
      </c>
      <c r="C27" s="67" t="s">
        <v>36</v>
      </c>
      <c r="D27" s="67" t="s">
        <v>37</v>
      </c>
      <c r="E27" s="67" t="s">
        <v>38</v>
      </c>
      <c r="G27" s="67" t="s">
        <v>39</v>
      </c>
      <c r="H27" s="1"/>
      <c r="I27" s="96" t="s">
        <v>27</v>
      </c>
      <c r="J27" s="97" t="s">
        <v>56</v>
      </c>
      <c r="K27" s="3"/>
      <c r="L27" s="3"/>
      <c r="M27" s="36" t="s">
        <v>40</v>
      </c>
      <c r="N27" s="37" t="s">
        <v>56</v>
      </c>
      <c r="Q27" s="3"/>
    </row>
    <row r="28" spans="1:17" ht="15" customHeight="1" thickBot="1">
      <c r="A28" s="1"/>
      <c r="B28" s="98">
        <f>SUM(C21:C22)</f>
        <v>0</v>
      </c>
      <c r="C28" s="98">
        <f>COUNTIF(D21:F22,"&gt;=16")</f>
        <v>0</v>
      </c>
      <c r="D28" s="98">
        <f>(COUNTIF(D21:F22,"&gt;0")-C28)/2</f>
        <v>0</v>
      </c>
      <c r="E28" s="98">
        <f>SUM(B28:D28)</f>
        <v>0</v>
      </c>
      <c r="G28" s="99">
        <v>0</v>
      </c>
      <c r="H28" s="1"/>
      <c r="I28" s="100">
        <v>24</v>
      </c>
      <c r="J28" s="101" t="str">
        <f>IF(E28*I28=0,"----",E28*I28)</f>
        <v>----</v>
      </c>
      <c r="K28" s="3"/>
      <c r="L28" s="3"/>
      <c r="M28" s="102">
        <v>12</v>
      </c>
      <c r="N28" s="76" t="str">
        <f>IF($G28=0,"----",M28*$G28)</f>
        <v>----</v>
      </c>
      <c r="Q28" s="3"/>
    </row>
    <row r="29" spans="1:17" ht="15" customHeight="1" thickBot="1">
      <c r="A29" s="1"/>
      <c r="B29" s="12"/>
      <c r="C29" s="12"/>
      <c r="D29" s="12"/>
      <c r="E29" s="103"/>
      <c r="F29" s="12"/>
      <c r="G29" s="12"/>
      <c r="H29" s="1"/>
      <c r="I29" s="104"/>
      <c r="J29" s="105"/>
      <c r="K29" s="105"/>
      <c r="L29" s="106"/>
      <c r="M29" s="54" t="s">
        <v>41</v>
      </c>
      <c r="N29" s="83" t="str">
        <f>IF(SUM(J28,N28)=0,"----",SUM((J28,N28)))</f>
        <v>----</v>
      </c>
      <c r="Q29" s="3"/>
    </row>
    <row r="30" spans="1:15" s="12" customFormat="1" ht="15" customHeight="1">
      <c r="A30" s="5"/>
      <c r="E30" s="2"/>
      <c r="F30" s="2"/>
      <c r="H30" s="5"/>
      <c r="I30" s="2"/>
      <c r="J30" s="2"/>
      <c r="K30" s="2"/>
      <c r="L30" s="2"/>
      <c r="M30" s="2"/>
      <c r="N30" s="2"/>
      <c r="O30" s="11"/>
    </row>
    <row r="31" spans="1:15" s="12" customFormat="1" ht="20.25" customHeight="1">
      <c r="A31" s="5"/>
      <c r="H31" s="5"/>
      <c r="I31" s="2"/>
      <c r="J31" s="2"/>
      <c r="K31" s="2"/>
      <c r="L31" s="2"/>
      <c r="M31" s="23" t="s">
        <v>42</v>
      </c>
      <c r="N31" s="107">
        <f>SUM(N15,N23,N29)</f>
        <v>0</v>
      </c>
      <c r="O31" s="11"/>
    </row>
    <row r="32" spans="1:14" ht="15.75" thickBot="1">
      <c r="A32" s="1"/>
      <c r="B32" s="2"/>
      <c r="C32" s="2"/>
      <c r="D32" s="2"/>
      <c r="E32" s="2"/>
      <c r="F32" s="2"/>
      <c r="H32" s="1"/>
      <c r="M32" s="23" t="s">
        <v>43</v>
      </c>
      <c r="N32" s="107">
        <f>IF(G34=0,"",G34)</f>
      </c>
    </row>
    <row r="33" spans="1:14" ht="19.5" customHeight="1" thickBot="1">
      <c r="A33" s="1"/>
      <c r="B33" s="108" t="s">
        <v>44</v>
      </c>
      <c r="C33" s="109"/>
      <c r="D33" s="109"/>
      <c r="E33" s="109"/>
      <c r="F33" s="109"/>
      <c r="G33" s="110"/>
      <c r="H33" s="1"/>
      <c r="M33" s="111" t="s">
        <v>54</v>
      </c>
      <c r="N33" s="112">
        <f>IF(G34=0,"",SUM(N31:N32))</f>
      </c>
    </row>
    <row r="34" spans="1:14" ht="19.5" customHeight="1">
      <c r="A34" s="1"/>
      <c r="B34" s="183" t="s">
        <v>45</v>
      </c>
      <c r="C34" s="183"/>
      <c r="D34" s="183"/>
      <c r="E34" s="183"/>
      <c r="F34" s="183"/>
      <c r="G34" s="113">
        <v>0</v>
      </c>
      <c r="H34" s="1"/>
      <c r="M34" s="111"/>
      <c r="N34" s="114" t="s">
        <v>55</v>
      </c>
    </row>
    <row r="35" spans="1:14" ht="19.5" customHeight="1">
      <c r="A35" s="1"/>
      <c r="B35" s="1"/>
      <c r="C35" s="1"/>
      <c r="D35" s="1"/>
      <c r="E35" s="1"/>
      <c r="F35" s="1"/>
      <c r="G35" s="1"/>
      <c r="H35" s="1"/>
      <c r="I35" s="115" t="s">
        <v>46</v>
      </c>
      <c r="J35" s="29"/>
      <c r="K35" s="29"/>
      <c r="L35" s="29"/>
      <c r="M35" s="29"/>
      <c r="N35" s="29"/>
    </row>
    <row r="36" spans="1:17" ht="12.75">
      <c r="A36" s="2"/>
      <c r="B36" s="2"/>
      <c r="C36" s="2"/>
      <c r="D36" s="2"/>
      <c r="E36" s="2"/>
      <c r="F36" s="2"/>
      <c r="H36" s="2"/>
      <c r="P36" s="116"/>
      <c r="Q36" s="116"/>
    </row>
    <row r="37" ht="28.5" customHeight="1">
      <c r="H37" s="2"/>
    </row>
    <row r="38" ht="12.75">
      <c r="H38" s="2"/>
    </row>
    <row r="57" spans="2:7" ht="12.75">
      <c r="B57" s="11"/>
      <c r="C57" s="11"/>
      <c r="G57" s="12"/>
    </row>
  </sheetData>
  <sheetProtection/>
  <mergeCells count="14">
    <mergeCell ref="B34:F34"/>
    <mergeCell ref="I11:N11"/>
    <mergeCell ref="I18:N18"/>
    <mergeCell ref="I19:N19"/>
    <mergeCell ref="I26:L26"/>
    <mergeCell ref="M26:N26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Turkmenistan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193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 t="s">
        <v>182</v>
      </c>
      <c r="J13" s="119"/>
      <c r="K13" s="44"/>
      <c r="L13" s="129"/>
      <c r="M13" s="130">
        <f>ROUND(K13*L13,2)</f>
        <v>0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$"&amp;ROUND(SUM(B20:B21),2)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50</v>
      </c>
      <c r="J20" s="121" t="s">
        <v>28</v>
      </c>
      <c r="K20" s="125">
        <v>253</v>
      </c>
      <c r="L20" s="122">
        <v>0.35</v>
      </c>
      <c r="M20" s="126">
        <f>ROUND(K20*L20,2)</f>
        <v>88.55</v>
      </c>
      <c r="N20" s="75" t="str">
        <f>IF($G20=0,"----",M20*$G20)</f>
        <v>----</v>
      </c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62</v>
      </c>
      <c r="J21" s="121" t="s">
        <v>28</v>
      </c>
      <c r="K21" s="125">
        <v>193</v>
      </c>
      <c r="L21" s="122">
        <v>0.35</v>
      </c>
      <c r="M21" s="126">
        <f>ROUND(K21*L21,2)</f>
        <v>67.55</v>
      </c>
      <c r="N21" s="75" t="str">
        <f>IF($G21=0,"----",M21*$G21)</f>
        <v>----</v>
      </c>
    </row>
    <row r="22" spans="1:16" ht="20.25" customHeight="1" thickBot="1">
      <c r="A22" s="1"/>
      <c r="B22" s="78">
        <f>SUM(B20:B21)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IF(SUM(N20:N21)=0,"----",SUM((N20:N21)))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SUM(C20:C21)</f>
        <v>0</v>
      </c>
      <c r="C27" s="98">
        <f>COUNTIF(D20:F21,"&gt;=16")</f>
        <v>0</v>
      </c>
      <c r="D27" s="98">
        <f>(COUNTIF(D20:F21,"&gt;0")-C27)/2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SUM(N14,N22,N28)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33:F33"/>
    <mergeCell ref="I11:N11"/>
    <mergeCell ref="I17:N17"/>
    <mergeCell ref="I18:N18"/>
    <mergeCell ref="I25:L25"/>
    <mergeCell ref="M25:N2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Albania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8" t="s">
        <v>1</v>
      </c>
      <c r="D6" s="189"/>
      <c r="E6" s="193" t="s">
        <v>63</v>
      </c>
      <c r="F6" s="194"/>
      <c r="G6" s="195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8" t="s">
        <v>2</v>
      </c>
      <c r="D7" s="189"/>
      <c r="E7" s="190" t="s">
        <v>3</v>
      </c>
      <c r="F7" s="191"/>
      <c r="G7" s="192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8" t="s">
        <v>60</v>
      </c>
      <c r="D8" s="189"/>
      <c r="E8" s="190" t="s">
        <v>49</v>
      </c>
      <c r="F8" s="191"/>
      <c r="G8" s="192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39891</v>
      </c>
      <c r="J13" s="119">
        <v>39961</v>
      </c>
      <c r="K13" s="44">
        <f>+J13-I13+1</f>
        <v>71</v>
      </c>
      <c r="L13" s="120">
        <v>4.61</v>
      </c>
      <c r="M13" s="45">
        <f>ROUND(K13*L13,2)</f>
        <v>327.31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$"&amp;ROUND(SUM(B20:B20),2)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 thickBo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21" t="s">
        <v>28</v>
      </c>
      <c r="K20" s="125">
        <v>267</v>
      </c>
      <c r="L20" s="122">
        <v>0.22</v>
      </c>
      <c r="M20" s="126">
        <f>ROUND(K20*L20,2)</f>
        <v>58.74</v>
      </c>
      <c r="N20" s="75" t="str">
        <f>IF($G20=0,"----",M20*$G20)</f>
        <v>----</v>
      </c>
    </row>
    <row r="21" spans="1:16" ht="20.25" customHeight="1" thickBot="1">
      <c r="A21" s="1"/>
      <c r="B21" s="78">
        <f>SUM(B20:B20)</f>
        <v>0</v>
      </c>
      <c r="C21" s="79"/>
      <c r="D21" s="79"/>
      <c r="E21" s="79"/>
      <c r="F21" s="79"/>
      <c r="G21" s="79"/>
      <c r="H21" s="1"/>
      <c r="I21" s="80"/>
      <c r="J21" s="52"/>
      <c r="K21" s="81"/>
      <c r="L21" s="82"/>
      <c r="M21" s="54" t="s">
        <v>29</v>
      </c>
      <c r="N21" s="83" t="str">
        <f>IF(SUM(N20:N20)=0,"----",SUM((N20:N20)))</f>
        <v>----</v>
      </c>
      <c r="P21" s="84"/>
    </row>
    <row r="22" spans="1:14" ht="15" customHeight="1" thickBot="1">
      <c r="A22" s="1"/>
      <c r="B22" s="79"/>
      <c r="C22" s="79"/>
      <c r="D22" s="79"/>
      <c r="E22" s="79"/>
      <c r="F22" s="79"/>
      <c r="H22" s="1"/>
      <c r="I22" s="85"/>
      <c r="J22" s="21"/>
      <c r="K22" s="86"/>
      <c r="L22" s="87"/>
      <c r="M22" s="23"/>
      <c r="N22" s="23"/>
    </row>
    <row r="23" spans="1:17" ht="25.5" customHeight="1">
      <c r="A23" s="1"/>
      <c r="B23" s="71"/>
      <c r="C23" s="2"/>
      <c r="D23" s="2"/>
      <c r="E23" s="2"/>
      <c r="F23" s="71"/>
      <c r="H23" s="1"/>
      <c r="I23" s="24" t="s">
        <v>30</v>
      </c>
      <c r="J23" s="25"/>
      <c r="K23" s="88"/>
      <c r="L23" s="89"/>
      <c r="M23" s="90" t="s">
        <v>31</v>
      </c>
      <c r="N23" s="26"/>
      <c r="P23" s="91"/>
      <c r="Q23" s="3"/>
    </row>
    <row r="24" spans="1:17" ht="28.5" customHeight="1">
      <c r="A24" s="1"/>
      <c r="B24" s="92" t="s">
        <v>32</v>
      </c>
      <c r="C24" s="93"/>
      <c r="D24" s="93"/>
      <c r="E24" s="94"/>
      <c r="F24" s="71"/>
      <c r="G24" s="95" t="s">
        <v>33</v>
      </c>
      <c r="H24" s="1"/>
      <c r="I24" s="175" t="s">
        <v>34</v>
      </c>
      <c r="J24" s="186"/>
      <c r="K24" s="186"/>
      <c r="L24" s="186"/>
      <c r="M24" s="184" t="s">
        <v>35</v>
      </c>
      <c r="N24" s="185"/>
      <c r="P24" s="3"/>
      <c r="Q24" s="3"/>
    </row>
    <row r="25" spans="1:17" ht="45" customHeight="1">
      <c r="A25" s="1"/>
      <c r="B25" s="67" t="s">
        <v>18</v>
      </c>
      <c r="C25" s="67" t="s">
        <v>36</v>
      </c>
      <c r="D25" s="67" t="s">
        <v>37</v>
      </c>
      <c r="E25" s="67" t="s">
        <v>38</v>
      </c>
      <c r="G25" s="67" t="s">
        <v>39</v>
      </c>
      <c r="H25" s="1"/>
      <c r="I25" s="96" t="s">
        <v>27</v>
      </c>
      <c r="J25" s="97" t="s">
        <v>56</v>
      </c>
      <c r="K25" s="3"/>
      <c r="L25" s="3"/>
      <c r="M25" s="36" t="s">
        <v>40</v>
      </c>
      <c r="N25" s="37" t="s">
        <v>56</v>
      </c>
      <c r="Q25" s="3"/>
    </row>
    <row r="26" spans="1:17" ht="15" customHeight="1" thickBot="1">
      <c r="A26" s="1"/>
      <c r="B26" s="98">
        <f>SUM(C20:C20)</f>
        <v>0</v>
      </c>
      <c r="C26" s="98">
        <f>COUNTIF(D20:F20,"&gt;=16")</f>
        <v>0</v>
      </c>
      <c r="D26" s="98">
        <f>(COUNTIF(D20:F20,"&gt;0")-C26)/2</f>
        <v>0</v>
      </c>
      <c r="E26" s="98">
        <f>SUM(B26:D26)</f>
        <v>0</v>
      </c>
      <c r="G26" s="99">
        <v>0</v>
      </c>
      <c r="H26" s="1"/>
      <c r="I26" s="100">
        <v>24</v>
      </c>
      <c r="J26" s="101" t="str">
        <f>IF(E26*I26=0,"----",E26*I26)</f>
        <v>----</v>
      </c>
      <c r="K26" s="3"/>
      <c r="L26" s="3"/>
      <c r="M26" s="102">
        <v>12</v>
      </c>
      <c r="N26" s="76" t="str">
        <f>IF($G26=0,"----",M26*$G26)</f>
        <v>----</v>
      </c>
      <c r="Q26" s="3"/>
    </row>
    <row r="27" spans="1:17" ht="15" customHeight="1" thickBot="1">
      <c r="A27" s="1"/>
      <c r="B27" s="12"/>
      <c r="C27" s="12"/>
      <c r="D27" s="12"/>
      <c r="E27" s="103"/>
      <c r="F27" s="12"/>
      <c r="G27" s="12"/>
      <c r="H27" s="1"/>
      <c r="I27" s="104"/>
      <c r="J27" s="105"/>
      <c r="K27" s="105"/>
      <c r="L27" s="106"/>
      <c r="M27" s="54" t="s">
        <v>41</v>
      </c>
      <c r="N27" s="83" t="str">
        <f>IF(SUM(J26,N26)=0,"----",SUM((J26,N26)))</f>
        <v>----</v>
      </c>
      <c r="Q27" s="3"/>
    </row>
    <row r="28" spans="1:15" s="12" customFormat="1" ht="15" customHeight="1">
      <c r="A28" s="5"/>
      <c r="E28" s="2"/>
      <c r="F28" s="2"/>
      <c r="H28" s="5"/>
      <c r="I28" s="2"/>
      <c r="J28" s="2"/>
      <c r="K28" s="2"/>
      <c r="L28" s="2"/>
      <c r="M28" s="2"/>
      <c r="N28" s="2"/>
      <c r="O28" s="11"/>
    </row>
    <row r="29" spans="1:15" s="12" customFormat="1" ht="20.25" customHeight="1">
      <c r="A29" s="5"/>
      <c r="H29" s="5"/>
      <c r="I29" s="2"/>
      <c r="J29" s="2"/>
      <c r="K29" s="2"/>
      <c r="L29" s="2"/>
      <c r="M29" s="23" t="s">
        <v>42</v>
      </c>
      <c r="N29" s="107">
        <f>SUM(N14,N21,N27)</f>
        <v>0</v>
      </c>
      <c r="O29" s="11"/>
    </row>
    <row r="30" spans="1:14" ht="15.75" thickBot="1">
      <c r="A30" s="1"/>
      <c r="B30" s="2"/>
      <c r="C30" s="2"/>
      <c r="D30" s="2"/>
      <c r="E30" s="2"/>
      <c r="F30" s="2"/>
      <c r="H30" s="1"/>
      <c r="M30" s="23" t="s">
        <v>43</v>
      </c>
      <c r="N30" s="107">
        <f>IF(G32=0,"",G32)</f>
      </c>
    </row>
    <row r="31" spans="1:14" ht="19.5" customHeight="1" thickBot="1">
      <c r="A31" s="1"/>
      <c r="B31" s="108" t="s">
        <v>44</v>
      </c>
      <c r="C31" s="109"/>
      <c r="D31" s="109"/>
      <c r="E31" s="109"/>
      <c r="F31" s="109"/>
      <c r="G31" s="110"/>
      <c r="H31" s="1"/>
      <c r="M31" s="111" t="s">
        <v>54</v>
      </c>
      <c r="N31" s="112">
        <f>IF(G32=0,"",SUM(N29:N30))</f>
      </c>
    </row>
    <row r="32" spans="1:14" ht="19.5" customHeight="1">
      <c r="A32" s="1"/>
      <c r="B32" s="183" t="s">
        <v>45</v>
      </c>
      <c r="C32" s="183"/>
      <c r="D32" s="183"/>
      <c r="E32" s="183"/>
      <c r="F32" s="183"/>
      <c r="G32" s="113">
        <v>0</v>
      </c>
      <c r="H32" s="1"/>
      <c r="M32" s="111"/>
      <c r="N32" s="114" t="s">
        <v>55</v>
      </c>
    </row>
    <row r="33" spans="1:14" ht="19.5" customHeight="1">
      <c r="A33" s="1"/>
      <c r="B33" s="1"/>
      <c r="C33" s="1"/>
      <c r="D33" s="1"/>
      <c r="E33" s="1"/>
      <c r="F33" s="1"/>
      <c r="G33" s="1"/>
      <c r="H33" s="1"/>
      <c r="I33" s="115" t="s">
        <v>46</v>
      </c>
      <c r="J33" s="29"/>
      <c r="K33" s="29"/>
      <c r="L33" s="29"/>
      <c r="M33" s="29"/>
      <c r="N33" s="29"/>
    </row>
    <row r="34" spans="1:17" ht="12.75">
      <c r="A34" s="2"/>
      <c r="B34" s="2"/>
      <c r="C34" s="2"/>
      <c r="D34" s="2"/>
      <c r="E34" s="2"/>
      <c r="F34" s="2"/>
      <c r="H34" s="2"/>
      <c r="P34" s="116"/>
      <c r="Q34" s="116"/>
    </row>
    <row r="35" ht="28.5" customHeight="1">
      <c r="H35" s="2"/>
    </row>
    <row r="36" ht="12.75">
      <c r="H36" s="2"/>
    </row>
    <row r="55" spans="2:7" ht="12.75">
      <c r="B55" s="11"/>
      <c r="C55" s="11"/>
      <c r="G55" s="12"/>
    </row>
  </sheetData>
  <sheetProtection/>
  <mergeCells count="14">
    <mergeCell ref="B32:F32"/>
    <mergeCell ref="I11:N11"/>
    <mergeCell ref="I17:N17"/>
    <mergeCell ref="I18:N18"/>
    <mergeCell ref="I24:L24"/>
    <mergeCell ref="M24:N24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</sheetPr>
  <dimension ref="A1:Q5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Uganda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200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39856</v>
      </c>
      <c r="J13" s="119">
        <v>39925</v>
      </c>
      <c r="K13" s="44">
        <f>+J13-I13+1</f>
        <v>70</v>
      </c>
      <c r="L13" s="129">
        <v>2.91</v>
      </c>
      <c r="M13" s="130">
        <f>ROUND(K13*L13,2)</f>
        <v>203.7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40029</v>
      </c>
      <c r="J14" s="119">
        <v>40101</v>
      </c>
      <c r="K14" s="44">
        <f>+J14-I14+1</f>
        <v>73</v>
      </c>
      <c r="L14" s="129">
        <v>2.91</v>
      </c>
      <c r="M14" s="130">
        <f>ROUND(K14*L14,2)</f>
        <v>212.43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$"&amp;ROUND(SUM(B21:B21),2)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 thickBo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21" t="s">
        <v>28</v>
      </c>
      <c r="K21" s="125">
        <v>250</v>
      </c>
      <c r="L21" s="122">
        <v>0.27</v>
      </c>
      <c r="M21" s="126">
        <f>ROUND(K21*L21,2)</f>
        <v>67.5</v>
      </c>
      <c r="N21" s="75" t="str">
        <f>IF($G21=0,"----",M21*$G21)</f>
        <v>----</v>
      </c>
    </row>
    <row r="22" spans="1:16" ht="20.25" customHeight="1" thickBot="1">
      <c r="A22" s="1"/>
      <c r="B22" s="78">
        <f>SUM(B21:B21)</f>
        <v>0</v>
      </c>
      <c r="C22" s="79"/>
      <c r="D22" s="79"/>
      <c r="E22" s="79"/>
      <c r="F22" s="79"/>
      <c r="G22" s="79"/>
      <c r="H22" s="1"/>
      <c r="I22" s="80"/>
      <c r="J22" s="52"/>
      <c r="K22" s="81"/>
      <c r="L22" s="82"/>
      <c r="M22" s="54" t="s">
        <v>29</v>
      </c>
      <c r="N22" s="83" t="str">
        <f>IF(SUM(N21:N21)=0,"----",SUM((N21:N21)))</f>
        <v>----</v>
      </c>
      <c r="P22" s="84"/>
    </row>
    <row r="23" spans="1:14" ht="15" customHeight="1" thickBot="1">
      <c r="A23" s="1"/>
      <c r="B23" s="79"/>
      <c r="C23" s="79"/>
      <c r="D23" s="79"/>
      <c r="E23" s="79"/>
      <c r="F23" s="79"/>
      <c r="H23" s="1"/>
      <c r="I23" s="85"/>
      <c r="J23" s="21"/>
      <c r="K23" s="86"/>
      <c r="L23" s="87"/>
      <c r="M23" s="23"/>
      <c r="N23" s="23"/>
    </row>
    <row r="24" spans="1:17" ht="25.5" customHeight="1">
      <c r="A24" s="1"/>
      <c r="B24" s="71"/>
      <c r="C24" s="2"/>
      <c r="D24" s="2"/>
      <c r="E24" s="2"/>
      <c r="F24" s="71"/>
      <c r="H24" s="1"/>
      <c r="I24" s="24" t="s">
        <v>30</v>
      </c>
      <c r="J24" s="25"/>
      <c r="K24" s="88"/>
      <c r="L24" s="89"/>
      <c r="M24" s="90" t="s">
        <v>31</v>
      </c>
      <c r="N24" s="26"/>
      <c r="P24" s="91"/>
      <c r="Q24" s="3"/>
    </row>
    <row r="25" spans="1:17" ht="28.5" customHeight="1">
      <c r="A25" s="1"/>
      <c r="B25" s="92" t="s">
        <v>32</v>
      </c>
      <c r="C25" s="93"/>
      <c r="D25" s="93"/>
      <c r="E25" s="94"/>
      <c r="F25" s="71"/>
      <c r="G25" s="95" t="s">
        <v>33</v>
      </c>
      <c r="H25" s="1"/>
      <c r="I25" s="175" t="s">
        <v>34</v>
      </c>
      <c r="J25" s="186"/>
      <c r="K25" s="186"/>
      <c r="L25" s="186"/>
      <c r="M25" s="184" t="s">
        <v>35</v>
      </c>
      <c r="N25" s="185"/>
      <c r="P25" s="3"/>
      <c r="Q25" s="3"/>
    </row>
    <row r="26" spans="1:17" ht="45" customHeight="1">
      <c r="A26" s="1"/>
      <c r="B26" s="67" t="s">
        <v>18</v>
      </c>
      <c r="C26" s="67" t="s">
        <v>36</v>
      </c>
      <c r="D26" s="67" t="s">
        <v>37</v>
      </c>
      <c r="E26" s="67" t="s">
        <v>38</v>
      </c>
      <c r="G26" s="67" t="s">
        <v>39</v>
      </c>
      <c r="H26" s="1"/>
      <c r="I26" s="96" t="s">
        <v>27</v>
      </c>
      <c r="J26" s="97" t="s">
        <v>56</v>
      </c>
      <c r="K26" s="3"/>
      <c r="L26" s="3"/>
      <c r="M26" s="36" t="s">
        <v>40</v>
      </c>
      <c r="N26" s="37" t="s">
        <v>56</v>
      </c>
      <c r="Q26" s="3"/>
    </row>
    <row r="27" spans="1:17" ht="15" customHeight="1" thickBot="1">
      <c r="A27" s="1"/>
      <c r="B27" s="98">
        <f>SUM(C21:C21)</f>
        <v>0</v>
      </c>
      <c r="C27" s="98">
        <f>COUNTIF(D21:F21,"&gt;=16")</f>
        <v>0</v>
      </c>
      <c r="D27" s="98">
        <f>(COUNTIF(D21:F21,"&gt;0")-C27)/2</f>
        <v>0</v>
      </c>
      <c r="E27" s="98">
        <f>SUM(B27:D27)</f>
        <v>0</v>
      </c>
      <c r="G27" s="99">
        <v>0</v>
      </c>
      <c r="H27" s="1"/>
      <c r="I27" s="100">
        <v>24</v>
      </c>
      <c r="J27" s="101" t="str">
        <f>IF(E27*I27=0,"----",E27*I27)</f>
        <v>----</v>
      </c>
      <c r="K27" s="3"/>
      <c r="L27" s="3"/>
      <c r="M27" s="102">
        <v>12</v>
      </c>
      <c r="N27" s="76" t="str">
        <f>IF($G27=0,"----",M27*$G27)</f>
        <v>----</v>
      </c>
      <c r="Q27" s="3"/>
    </row>
    <row r="28" spans="1:17" ht="15" customHeight="1" thickBot="1">
      <c r="A28" s="1"/>
      <c r="B28" s="12"/>
      <c r="C28" s="12"/>
      <c r="D28" s="12"/>
      <c r="E28" s="103"/>
      <c r="F28" s="12"/>
      <c r="G28" s="12"/>
      <c r="H28" s="1"/>
      <c r="I28" s="104"/>
      <c r="J28" s="105"/>
      <c r="K28" s="105"/>
      <c r="L28" s="106"/>
      <c r="M28" s="54" t="s">
        <v>41</v>
      </c>
      <c r="N28" s="83" t="str">
        <f>IF(SUM(J27,N27)=0,"----",SUM((J27,N27)))</f>
        <v>----</v>
      </c>
      <c r="Q28" s="3"/>
    </row>
    <row r="29" spans="1:15" s="12" customFormat="1" ht="15" customHeight="1">
      <c r="A29" s="5"/>
      <c r="E29" s="2"/>
      <c r="F29" s="2"/>
      <c r="H29" s="5"/>
      <c r="I29" s="2"/>
      <c r="J29" s="2"/>
      <c r="K29" s="2"/>
      <c r="L29" s="2"/>
      <c r="M29" s="2"/>
      <c r="N29" s="2"/>
      <c r="O29" s="11"/>
    </row>
    <row r="30" spans="1:15" s="12" customFormat="1" ht="20.25" customHeight="1">
      <c r="A30" s="5"/>
      <c r="H30" s="5"/>
      <c r="I30" s="2"/>
      <c r="J30" s="2"/>
      <c r="K30" s="2"/>
      <c r="L30" s="2"/>
      <c r="M30" s="23" t="s">
        <v>42</v>
      </c>
      <c r="N30" s="107">
        <f>SUM(N15,N22,N28)</f>
        <v>0</v>
      </c>
      <c r="O30" s="11"/>
    </row>
    <row r="31" spans="1:14" ht="15.75" thickBot="1">
      <c r="A31" s="1"/>
      <c r="B31" s="2"/>
      <c r="C31" s="2"/>
      <c r="D31" s="2"/>
      <c r="E31" s="2"/>
      <c r="F31" s="2"/>
      <c r="H31" s="1"/>
      <c r="M31" s="23" t="s">
        <v>43</v>
      </c>
      <c r="N31" s="107">
        <f>IF(G33=0,"",G33)</f>
      </c>
    </row>
    <row r="32" spans="1:14" ht="19.5" customHeight="1" thickBot="1">
      <c r="A32" s="1"/>
      <c r="B32" s="108" t="s">
        <v>44</v>
      </c>
      <c r="C32" s="109"/>
      <c r="D32" s="109"/>
      <c r="E32" s="109"/>
      <c r="F32" s="109"/>
      <c r="G32" s="110"/>
      <c r="H32" s="1"/>
      <c r="M32" s="111" t="s">
        <v>54</v>
      </c>
      <c r="N32" s="112">
        <f>IF(G33=0,"",SUM(N30:N31))</f>
      </c>
    </row>
    <row r="33" spans="1:14" ht="19.5" customHeight="1">
      <c r="A33" s="1"/>
      <c r="B33" s="183" t="s">
        <v>45</v>
      </c>
      <c r="C33" s="183"/>
      <c r="D33" s="183"/>
      <c r="E33" s="183"/>
      <c r="F33" s="183"/>
      <c r="G33" s="113">
        <v>0</v>
      </c>
      <c r="H33" s="1"/>
      <c r="M33" s="111"/>
      <c r="N33" s="114" t="s">
        <v>55</v>
      </c>
    </row>
    <row r="34" spans="1:14" ht="19.5" customHeight="1">
      <c r="A34" s="1"/>
      <c r="B34" s="1"/>
      <c r="C34" s="1"/>
      <c r="D34" s="1"/>
      <c r="E34" s="1"/>
      <c r="F34" s="1"/>
      <c r="G34" s="1"/>
      <c r="H34" s="1"/>
      <c r="I34" s="115" t="s">
        <v>46</v>
      </c>
      <c r="J34" s="29"/>
      <c r="K34" s="29"/>
      <c r="L34" s="29"/>
      <c r="M34" s="29"/>
      <c r="N34" s="29"/>
    </row>
    <row r="35" spans="1:17" ht="12.75">
      <c r="A35" s="2"/>
      <c r="B35" s="2"/>
      <c r="C35" s="2"/>
      <c r="D35" s="2"/>
      <c r="E35" s="2"/>
      <c r="F35" s="2"/>
      <c r="H35" s="2"/>
      <c r="P35" s="116"/>
      <c r="Q35" s="116"/>
    </row>
    <row r="36" ht="28.5" customHeight="1">
      <c r="H36" s="2"/>
    </row>
    <row r="37" ht="12.75">
      <c r="H37" s="2"/>
    </row>
    <row r="56" spans="2:7" ht="12.75">
      <c r="B56" s="11"/>
      <c r="C56" s="11"/>
      <c r="G56" s="12"/>
    </row>
  </sheetData>
  <sheetProtection/>
  <mergeCells count="14">
    <mergeCell ref="B33:F33"/>
    <mergeCell ref="I11:N11"/>
    <mergeCell ref="I18:N18"/>
    <mergeCell ref="I19:N19"/>
    <mergeCell ref="I25:L25"/>
    <mergeCell ref="M25:N25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30.28125" style="2" customWidth="1"/>
    <col min="10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Ukraine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137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39904</v>
      </c>
      <c r="J13" s="119">
        <v>39981</v>
      </c>
      <c r="K13" s="44">
        <f>+J13-I13+1</f>
        <v>78</v>
      </c>
      <c r="L13" s="129">
        <v>4.61</v>
      </c>
      <c r="M13" s="130">
        <f>ROUND(K13*L13,2)</f>
        <v>359.58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40083</v>
      </c>
      <c r="J14" s="119">
        <v>40163</v>
      </c>
      <c r="K14" s="44">
        <f>+J14-I14+1</f>
        <v>81</v>
      </c>
      <c r="L14" s="129">
        <v>4.8</v>
      </c>
      <c r="M14" s="130">
        <f>ROUND(K14*L14,2)</f>
        <v>388.8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$"&amp;ROUND(SUM(B21:B34),2)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 aca="true" t="shared" si="0" ref="B21:B34"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aca="true" t="shared" si="1" ref="G21:G34">C21+D21/29+E21/30+F21/31</f>
        <v>0</v>
      </c>
      <c r="H21" s="1"/>
      <c r="I21" s="148" t="s">
        <v>150</v>
      </c>
      <c r="J21" s="146" t="s">
        <v>125</v>
      </c>
      <c r="K21" s="150">
        <v>155.24</v>
      </c>
      <c r="L21" s="122">
        <v>0.35</v>
      </c>
      <c r="M21" s="126">
        <f aca="true" t="shared" si="2" ref="M21:M34">ROUND(K21*L21,2)</f>
        <v>54.33</v>
      </c>
      <c r="N21" s="75" t="str">
        <f aca="true" t="shared" si="3" ref="N21:N34">IF($G21=0,"----",M21*$G21)</f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49" t="s">
        <v>150</v>
      </c>
      <c r="J22" s="146" t="s">
        <v>126</v>
      </c>
      <c r="K22" s="150">
        <v>158.14</v>
      </c>
      <c r="L22" s="122">
        <v>0.35</v>
      </c>
      <c r="M22" s="126">
        <f t="shared" si="2"/>
        <v>55.35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49" t="s">
        <v>150</v>
      </c>
      <c r="J23" s="146" t="s">
        <v>127</v>
      </c>
      <c r="K23" s="150">
        <v>163.41</v>
      </c>
      <c r="L23" s="122">
        <v>0.35</v>
      </c>
      <c r="M23" s="126">
        <f t="shared" si="2"/>
        <v>57.19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49" t="s">
        <v>150</v>
      </c>
      <c r="J24" s="147" t="s">
        <v>143</v>
      </c>
      <c r="K24" s="150">
        <v>161.14</v>
      </c>
      <c r="L24" s="122">
        <v>0.35</v>
      </c>
      <c r="M24" s="126">
        <f t="shared" si="2"/>
        <v>56.4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49" t="s">
        <v>150</v>
      </c>
      <c r="J25" s="147" t="s">
        <v>144</v>
      </c>
      <c r="K25" s="150">
        <v>170.43</v>
      </c>
      <c r="L25" s="122">
        <v>0.35</v>
      </c>
      <c r="M25" s="126">
        <f t="shared" si="2"/>
        <v>59.65</v>
      </c>
      <c r="N25" s="75" t="str">
        <f t="shared" si="3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49" t="s">
        <v>150</v>
      </c>
      <c r="J26" s="147" t="s">
        <v>145</v>
      </c>
      <c r="K26" s="150">
        <v>178.65</v>
      </c>
      <c r="L26" s="122">
        <v>0.35</v>
      </c>
      <c r="M26" s="126">
        <f t="shared" si="2"/>
        <v>62.53</v>
      </c>
      <c r="N26" s="75" t="str">
        <f t="shared" si="3"/>
        <v>----</v>
      </c>
    </row>
    <row r="27" spans="1:14" ht="15" customHeigh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49" t="s">
        <v>151</v>
      </c>
      <c r="J27" s="147" t="s">
        <v>145</v>
      </c>
      <c r="K27" s="150">
        <v>77.41</v>
      </c>
      <c r="L27" s="122">
        <v>0.35</v>
      </c>
      <c r="M27" s="126">
        <f t="shared" si="2"/>
        <v>27.09</v>
      </c>
      <c r="N27" s="75" t="str">
        <f t="shared" si="3"/>
        <v>----</v>
      </c>
    </row>
    <row r="28" spans="1:14" ht="15" customHeight="1">
      <c r="A28" s="1"/>
      <c r="B28" s="72" t="str">
        <f t="shared" si="0"/>
        <v>----</v>
      </c>
      <c r="C28" s="73">
        <v>0</v>
      </c>
      <c r="D28" s="73">
        <v>0</v>
      </c>
      <c r="E28" s="73">
        <v>0</v>
      </c>
      <c r="F28" s="73">
        <v>0</v>
      </c>
      <c r="G28" s="74">
        <f t="shared" si="1"/>
        <v>0</v>
      </c>
      <c r="H28" s="1"/>
      <c r="I28" s="149" t="s">
        <v>152</v>
      </c>
      <c r="J28" s="147" t="s">
        <v>146</v>
      </c>
      <c r="K28" s="150">
        <v>180.05</v>
      </c>
      <c r="L28" s="122">
        <v>0.35</v>
      </c>
      <c r="M28" s="126">
        <f t="shared" si="2"/>
        <v>63.02</v>
      </c>
      <c r="N28" s="75" t="str">
        <f t="shared" si="3"/>
        <v>----</v>
      </c>
    </row>
    <row r="29" spans="1:14" ht="15" customHeight="1">
      <c r="A29" s="1"/>
      <c r="B29" s="72" t="str">
        <f t="shared" si="0"/>
        <v>----</v>
      </c>
      <c r="C29" s="73">
        <v>0</v>
      </c>
      <c r="D29" s="73">
        <v>0</v>
      </c>
      <c r="E29" s="73">
        <v>0</v>
      </c>
      <c r="F29" s="73">
        <v>0</v>
      </c>
      <c r="G29" s="74">
        <f t="shared" si="1"/>
        <v>0</v>
      </c>
      <c r="H29" s="1"/>
      <c r="I29" s="149" t="s">
        <v>152</v>
      </c>
      <c r="J29" s="147" t="s">
        <v>147</v>
      </c>
      <c r="K29" s="150">
        <v>173.45</v>
      </c>
      <c r="L29" s="122">
        <v>0.35</v>
      </c>
      <c r="M29" s="126">
        <f t="shared" si="2"/>
        <v>60.71</v>
      </c>
      <c r="N29" s="75" t="str">
        <f t="shared" si="3"/>
        <v>----</v>
      </c>
    </row>
    <row r="30" spans="1:14" ht="15" customHeight="1">
      <c r="A30" s="1"/>
      <c r="B30" s="72" t="str">
        <f t="shared" si="0"/>
        <v>----</v>
      </c>
      <c r="C30" s="73">
        <v>0</v>
      </c>
      <c r="D30" s="73">
        <v>0</v>
      </c>
      <c r="E30" s="73">
        <v>0</v>
      </c>
      <c r="F30" s="73">
        <v>0</v>
      </c>
      <c r="G30" s="74">
        <f t="shared" si="1"/>
        <v>0</v>
      </c>
      <c r="H30" s="1"/>
      <c r="I30" s="149" t="s">
        <v>152</v>
      </c>
      <c r="J30" s="147" t="s">
        <v>148</v>
      </c>
      <c r="K30" s="150">
        <v>161.98</v>
      </c>
      <c r="L30" s="122">
        <v>0.35</v>
      </c>
      <c r="M30" s="126">
        <f t="shared" si="2"/>
        <v>56.69</v>
      </c>
      <c r="N30" s="75" t="str">
        <f t="shared" si="3"/>
        <v>----</v>
      </c>
    </row>
    <row r="31" spans="1:14" ht="15" customHeight="1">
      <c r="A31" s="1"/>
      <c r="B31" s="72" t="str">
        <f t="shared" si="0"/>
        <v>----</v>
      </c>
      <c r="C31" s="73">
        <v>0</v>
      </c>
      <c r="D31" s="73">
        <v>0</v>
      </c>
      <c r="E31" s="73">
        <v>0</v>
      </c>
      <c r="F31" s="73">
        <v>0</v>
      </c>
      <c r="G31" s="74">
        <f t="shared" si="1"/>
        <v>0</v>
      </c>
      <c r="H31" s="1"/>
      <c r="I31" s="149" t="s">
        <v>152</v>
      </c>
      <c r="J31" s="147" t="s">
        <v>149</v>
      </c>
      <c r="K31" s="150">
        <v>161.03</v>
      </c>
      <c r="L31" s="122">
        <v>0.35</v>
      </c>
      <c r="M31" s="126">
        <f t="shared" si="2"/>
        <v>56.36</v>
      </c>
      <c r="N31" s="75" t="str">
        <f t="shared" si="3"/>
        <v>----</v>
      </c>
    </row>
    <row r="32" spans="1:14" ht="15" customHeight="1">
      <c r="A32" s="1"/>
      <c r="B32" s="72" t="str">
        <f t="shared" si="0"/>
        <v>----</v>
      </c>
      <c r="C32" s="73">
        <v>0</v>
      </c>
      <c r="D32" s="73">
        <v>0</v>
      </c>
      <c r="E32" s="73">
        <v>0</v>
      </c>
      <c r="F32" s="73">
        <v>0</v>
      </c>
      <c r="G32" s="74">
        <f t="shared" si="1"/>
        <v>0</v>
      </c>
      <c r="H32" s="1"/>
      <c r="I32" s="149" t="s">
        <v>152</v>
      </c>
      <c r="J32" s="147" t="s">
        <v>128</v>
      </c>
      <c r="K32" s="150">
        <v>168.24</v>
      </c>
      <c r="L32" s="122">
        <v>0.35</v>
      </c>
      <c r="M32" s="126">
        <f t="shared" si="2"/>
        <v>58.88</v>
      </c>
      <c r="N32" s="75" t="str">
        <f t="shared" si="3"/>
        <v>----</v>
      </c>
    </row>
    <row r="33" spans="1:14" ht="15" customHeight="1">
      <c r="A33" s="1"/>
      <c r="B33" s="72" t="str">
        <f t="shared" si="0"/>
        <v>----</v>
      </c>
      <c r="C33" s="73">
        <v>0</v>
      </c>
      <c r="D33" s="73">
        <v>0</v>
      </c>
      <c r="E33" s="73">
        <v>0</v>
      </c>
      <c r="F33" s="73">
        <v>0</v>
      </c>
      <c r="G33" s="74">
        <f t="shared" si="1"/>
        <v>0</v>
      </c>
      <c r="H33" s="1"/>
      <c r="I33" s="149" t="s">
        <v>152</v>
      </c>
      <c r="J33" s="147" t="s">
        <v>129</v>
      </c>
      <c r="K33" s="150">
        <v>169.8</v>
      </c>
      <c r="L33" s="122">
        <v>0.35</v>
      </c>
      <c r="M33" s="126">
        <f t="shared" si="2"/>
        <v>59.43</v>
      </c>
      <c r="N33" s="75" t="str">
        <f t="shared" si="3"/>
        <v>----</v>
      </c>
    </row>
    <row r="34" spans="1:14" ht="15" customHeight="1" thickBot="1">
      <c r="A34" s="1"/>
      <c r="B34" s="72" t="str">
        <f t="shared" si="0"/>
        <v>----</v>
      </c>
      <c r="C34" s="73">
        <v>0</v>
      </c>
      <c r="D34" s="73">
        <v>0</v>
      </c>
      <c r="E34" s="73">
        <v>0</v>
      </c>
      <c r="F34" s="73">
        <v>0</v>
      </c>
      <c r="G34" s="74">
        <f t="shared" si="1"/>
        <v>0</v>
      </c>
      <c r="H34" s="1"/>
      <c r="I34" s="149" t="s">
        <v>153</v>
      </c>
      <c r="J34" s="147" t="s">
        <v>129</v>
      </c>
      <c r="K34" s="150">
        <v>82.17</v>
      </c>
      <c r="L34" s="122">
        <v>0.35</v>
      </c>
      <c r="M34" s="126">
        <f t="shared" si="2"/>
        <v>28.76</v>
      </c>
      <c r="N34" s="75" t="str">
        <f t="shared" si="3"/>
        <v>----</v>
      </c>
    </row>
    <row r="35" spans="1:16" ht="20.25" customHeight="1" thickBot="1">
      <c r="A35" s="1"/>
      <c r="B35" s="78">
        <f>SUM(B21:B34)</f>
        <v>0</v>
      </c>
      <c r="C35" s="79"/>
      <c r="D35" s="79"/>
      <c r="E35" s="79"/>
      <c r="F35" s="79"/>
      <c r="G35" s="79"/>
      <c r="H35" s="1"/>
      <c r="I35" s="80"/>
      <c r="J35" s="52"/>
      <c r="K35" s="81"/>
      <c r="L35" s="82"/>
      <c r="M35" s="54" t="s">
        <v>29</v>
      </c>
      <c r="N35" s="83" t="str">
        <f>IF(SUM(N21:N34)=0,"----",SUM((N21:N34)))</f>
        <v>----</v>
      </c>
      <c r="P35" s="84"/>
    </row>
    <row r="36" spans="1:14" ht="15" customHeight="1" thickBot="1">
      <c r="A36" s="1"/>
      <c r="B36" s="79"/>
      <c r="C36" s="79"/>
      <c r="D36" s="79"/>
      <c r="E36" s="79"/>
      <c r="F36" s="79"/>
      <c r="H36" s="1"/>
      <c r="I36" s="85"/>
      <c r="J36" s="21"/>
      <c r="K36" s="86"/>
      <c r="L36" s="87"/>
      <c r="M36" s="23"/>
      <c r="N36" s="23"/>
    </row>
    <row r="37" spans="1:17" ht="25.5" customHeight="1">
      <c r="A37" s="1"/>
      <c r="B37" s="71"/>
      <c r="C37" s="2"/>
      <c r="D37" s="2"/>
      <c r="E37" s="2"/>
      <c r="F37" s="71"/>
      <c r="H37" s="1"/>
      <c r="I37" s="24" t="s">
        <v>30</v>
      </c>
      <c r="J37" s="25"/>
      <c r="K37" s="88"/>
      <c r="L37" s="89"/>
      <c r="M37" s="90" t="s">
        <v>31</v>
      </c>
      <c r="N37" s="26"/>
      <c r="P37" s="91"/>
      <c r="Q37" s="3"/>
    </row>
    <row r="38" spans="1:17" ht="28.5" customHeight="1">
      <c r="A38" s="1"/>
      <c r="B38" s="92" t="s">
        <v>32</v>
      </c>
      <c r="C38" s="93"/>
      <c r="D38" s="93"/>
      <c r="E38" s="94"/>
      <c r="F38" s="71"/>
      <c r="G38" s="95" t="s">
        <v>33</v>
      </c>
      <c r="H38" s="1"/>
      <c r="I38" s="175" t="s">
        <v>34</v>
      </c>
      <c r="J38" s="186"/>
      <c r="K38" s="186"/>
      <c r="L38" s="186"/>
      <c r="M38" s="184" t="s">
        <v>35</v>
      </c>
      <c r="N38" s="185"/>
      <c r="P38" s="3"/>
      <c r="Q38" s="3"/>
    </row>
    <row r="39" spans="1:17" ht="45" customHeight="1">
      <c r="A39" s="1"/>
      <c r="B39" s="67" t="s">
        <v>18</v>
      </c>
      <c r="C39" s="67" t="s">
        <v>36</v>
      </c>
      <c r="D39" s="67" t="s">
        <v>37</v>
      </c>
      <c r="E39" s="67" t="s">
        <v>38</v>
      </c>
      <c r="G39" s="67" t="s">
        <v>39</v>
      </c>
      <c r="H39" s="1"/>
      <c r="I39" s="96" t="s">
        <v>27</v>
      </c>
      <c r="J39" s="97" t="s">
        <v>56</v>
      </c>
      <c r="K39" s="3"/>
      <c r="L39" s="3"/>
      <c r="M39" s="36" t="s">
        <v>40</v>
      </c>
      <c r="N39" s="37" t="s">
        <v>56</v>
      </c>
      <c r="Q39" s="3"/>
    </row>
    <row r="40" spans="1:17" ht="15" customHeight="1" thickBot="1">
      <c r="A40" s="1"/>
      <c r="B40" s="98">
        <f>SUM(C21:C34)</f>
        <v>0</v>
      </c>
      <c r="C40" s="98">
        <f>COUNTIF(D21:F34,"&gt;=16")</f>
        <v>0</v>
      </c>
      <c r="D40" s="98">
        <f>(COUNTIF(D21:F34,"&gt;0")-C40)/2</f>
        <v>0</v>
      </c>
      <c r="E40" s="98">
        <f>SUM(B40:D40)</f>
        <v>0</v>
      </c>
      <c r="G40" s="99">
        <v>0</v>
      </c>
      <c r="H40" s="1"/>
      <c r="I40" s="100">
        <v>24</v>
      </c>
      <c r="J40" s="101" t="str">
        <f>IF(E40*I40=0,"----",E40*I40)</f>
        <v>----</v>
      </c>
      <c r="K40" s="3"/>
      <c r="L40" s="3"/>
      <c r="M40" s="102">
        <v>12</v>
      </c>
      <c r="N40" s="76" t="str">
        <f>IF($G40=0,"----",M40*$G40)</f>
        <v>----</v>
      </c>
      <c r="Q40" s="3"/>
    </row>
    <row r="41" spans="1:17" ht="15" customHeight="1" thickBot="1">
      <c r="A41" s="1"/>
      <c r="B41" s="12"/>
      <c r="C41" s="12"/>
      <c r="D41" s="12"/>
      <c r="E41" s="103"/>
      <c r="F41" s="12"/>
      <c r="G41" s="12"/>
      <c r="H41" s="1"/>
      <c r="I41" s="104"/>
      <c r="J41" s="105"/>
      <c r="K41" s="105"/>
      <c r="L41" s="106"/>
      <c r="M41" s="54" t="s">
        <v>41</v>
      </c>
      <c r="N41" s="83" t="str">
        <f>IF(SUM(J40,N40)=0,"----",SUM((J40,N40)))</f>
        <v>----</v>
      </c>
      <c r="Q41" s="3"/>
    </row>
    <row r="42" spans="1:15" s="12" customFormat="1" ht="15" customHeight="1">
      <c r="A42" s="5"/>
      <c r="E42" s="2"/>
      <c r="F42" s="2"/>
      <c r="H42" s="5"/>
      <c r="I42" s="2"/>
      <c r="J42" s="2"/>
      <c r="K42" s="2"/>
      <c r="L42" s="2"/>
      <c r="M42" s="2"/>
      <c r="N42" s="2"/>
      <c r="O42" s="11"/>
    </row>
    <row r="43" spans="1:15" s="12" customFormat="1" ht="20.25" customHeight="1">
      <c r="A43" s="5"/>
      <c r="H43" s="5"/>
      <c r="I43" s="2"/>
      <c r="J43" s="2"/>
      <c r="K43" s="2"/>
      <c r="L43" s="2"/>
      <c r="M43" s="23" t="s">
        <v>42</v>
      </c>
      <c r="N43" s="107">
        <f>SUM(N15,N35,N41)</f>
        <v>0</v>
      </c>
      <c r="O43" s="11"/>
    </row>
    <row r="44" spans="1:14" ht="15.75" thickBot="1">
      <c r="A44" s="1"/>
      <c r="B44" s="2"/>
      <c r="C44" s="2"/>
      <c r="D44" s="2"/>
      <c r="E44" s="2"/>
      <c r="F44" s="2"/>
      <c r="H44" s="1"/>
      <c r="M44" s="23" t="s">
        <v>43</v>
      </c>
      <c r="N44" s="107">
        <f>IF(G46=0,"",G46)</f>
      </c>
    </row>
    <row r="45" spans="1:14" ht="19.5" customHeight="1" thickBot="1">
      <c r="A45" s="1"/>
      <c r="B45" s="108" t="s">
        <v>44</v>
      </c>
      <c r="C45" s="109"/>
      <c r="D45" s="109"/>
      <c r="E45" s="109"/>
      <c r="F45" s="109"/>
      <c r="G45" s="110"/>
      <c r="H45" s="1"/>
      <c r="M45" s="111" t="s">
        <v>54</v>
      </c>
      <c r="N45" s="112">
        <f>IF(G46=0,"",SUM(N43:N44))</f>
      </c>
    </row>
    <row r="46" spans="1:14" ht="19.5" customHeight="1">
      <c r="A46" s="1"/>
      <c r="B46" s="183" t="s">
        <v>45</v>
      </c>
      <c r="C46" s="183"/>
      <c r="D46" s="183"/>
      <c r="E46" s="183"/>
      <c r="F46" s="183"/>
      <c r="G46" s="113">
        <v>0</v>
      </c>
      <c r="H46" s="1"/>
      <c r="M46" s="111"/>
      <c r="N46" s="114" t="s">
        <v>55</v>
      </c>
    </row>
    <row r="47" spans="1:14" ht="19.5" customHeight="1">
      <c r="A47" s="1"/>
      <c r="B47" s="1"/>
      <c r="C47" s="1"/>
      <c r="D47" s="1"/>
      <c r="E47" s="1"/>
      <c r="F47" s="1"/>
      <c r="G47" s="1"/>
      <c r="H47" s="1"/>
      <c r="I47" s="115" t="s">
        <v>46</v>
      </c>
      <c r="J47" s="29"/>
      <c r="K47" s="29"/>
      <c r="L47" s="29"/>
      <c r="M47" s="29"/>
      <c r="N47" s="29"/>
    </row>
    <row r="48" spans="1:17" ht="12.75">
      <c r="A48" s="2"/>
      <c r="B48" s="2"/>
      <c r="C48" s="2"/>
      <c r="D48" s="2"/>
      <c r="E48" s="2"/>
      <c r="F48" s="2"/>
      <c r="H48" s="2"/>
      <c r="P48" s="116"/>
      <c r="Q48" s="116"/>
    </row>
    <row r="49" ht="28.5" customHeight="1">
      <c r="H49" s="2"/>
    </row>
    <row r="50" ht="12.75">
      <c r="H50" s="2"/>
    </row>
    <row r="69" spans="2:7" ht="12.75">
      <c r="B69" s="11"/>
      <c r="C69" s="11"/>
      <c r="G69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46:F46"/>
    <mergeCell ref="I11:N11"/>
    <mergeCell ref="I18:N18"/>
    <mergeCell ref="I19:N19"/>
    <mergeCell ref="I38:L38"/>
    <mergeCell ref="M38:N38"/>
  </mergeCells>
  <printOptions/>
  <pageMargins left="0.75" right="0.75" top="1" bottom="1" header="0.5" footer="0.5"/>
  <pageSetup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Vanuatu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59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40067</v>
      </c>
      <c r="J13" s="119">
        <v>40122</v>
      </c>
      <c r="K13" s="44">
        <f>+J13-I13+1</f>
        <v>56</v>
      </c>
      <c r="L13" s="129">
        <v>6.51</v>
      </c>
      <c r="M13" s="130">
        <f>ROUND(K13*L13,2)</f>
        <v>364.56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$"&amp;ROUND(SUM(B20:B22),2)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50</v>
      </c>
      <c r="J20" s="121" t="s">
        <v>28</v>
      </c>
      <c r="K20" s="135">
        <v>645.19</v>
      </c>
      <c r="L20" s="122">
        <v>0.35</v>
      </c>
      <c r="M20" s="126">
        <f>ROUND(K20*L20,2)</f>
        <v>225.82</v>
      </c>
      <c r="N20" s="75" t="str">
        <f>IF($G20=0,"----",M20*$G20)</f>
        <v>----</v>
      </c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61</v>
      </c>
      <c r="J21" s="121" t="s">
        <v>28</v>
      </c>
      <c r="K21" s="135">
        <v>612.6</v>
      </c>
      <c r="L21" s="122">
        <v>0.35</v>
      </c>
      <c r="M21" s="126">
        <f>ROUND(K21*L21,2)</f>
        <v>214.41</v>
      </c>
      <c r="N21" s="75" t="str">
        <f>IF($G21=0,"----",M21*$G21)</f>
        <v>----</v>
      </c>
    </row>
    <row r="22" spans="1:14" ht="15" customHeight="1" thickBo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62</v>
      </c>
      <c r="J22" s="121" t="s">
        <v>28</v>
      </c>
      <c r="K22" s="135">
        <v>547.41</v>
      </c>
      <c r="L22" s="122">
        <v>0.35</v>
      </c>
      <c r="M22" s="126">
        <f>ROUND(K22*L22,2)</f>
        <v>191.59</v>
      </c>
      <c r="N22" s="75" t="str">
        <f>IF($G22=0,"----",M22*$G22)</f>
        <v>----</v>
      </c>
    </row>
    <row r="23" spans="1:16" ht="20.25" customHeight="1" thickBot="1">
      <c r="A23" s="1"/>
      <c r="B23" s="78">
        <f>SUM(B20:B22)</f>
        <v>0</v>
      </c>
      <c r="C23" s="79"/>
      <c r="D23" s="79"/>
      <c r="E23" s="79"/>
      <c r="F23" s="79"/>
      <c r="G23" s="79"/>
      <c r="H23" s="1"/>
      <c r="I23" s="80"/>
      <c r="J23" s="52"/>
      <c r="K23" s="81"/>
      <c r="L23" s="82"/>
      <c r="M23" s="54" t="s">
        <v>29</v>
      </c>
      <c r="N23" s="83" t="str">
        <f>IF(SUM(N20:N22)=0,"----",SUM((N20:N22)))</f>
        <v>----</v>
      </c>
      <c r="P23" s="84"/>
    </row>
    <row r="24" spans="1:14" ht="15" customHeight="1" thickBot="1">
      <c r="A24" s="1"/>
      <c r="B24" s="79"/>
      <c r="C24" s="79"/>
      <c r="D24" s="79"/>
      <c r="E24" s="79"/>
      <c r="F24" s="79"/>
      <c r="H24" s="1"/>
      <c r="I24" s="85"/>
      <c r="J24" s="21"/>
      <c r="K24" s="86"/>
      <c r="L24" s="87"/>
      <c r="M24" s="23"/>
      <c r="N24" s="23"/>
    </row>
    <row r="25" spans="1:17" ht="25.5" customHeight="1">
      <c r="A25" s="1"/>
      <c r="B25" s="71"/>
      <c r="C25" s="2"/>
      <c r="D25" s="2"/>
      <c r="E25" s="2"/>
      <c r="F25" s="71"/>
      <c r="H25" s="1"/>
      <c r="I25" s="24" t="s">
        <v>30</v>
      </c>
      <c r="J25" s="25"/>
      <c r="K25" s="88"/>
      <c r="L25" s="89"/>
      <c r="M25" s="90" t="s">
        <v>31</v>
      </c>
      <c r="N25" s="26"/>
      <c r="P25" s="91"/>
      <c r="Q25" s="3"/>
    </row>
    <row r="26" spans="1:17" ht="28.5" customHeight="1">
      <c r="A26" s="1"/>
      <c r="B26" s="92" t="s">
        <v>32</v>
      </c>
      <c r="C26" s="93"/>
      <c r="D26" s="93"/>
      <c r="E26" s="94"/>
      <c r="F26" s="71"/>
      <c r="G26" s="95" t="s">
        <v>33</v>
      </c>
      <c r="H26" s="1"/>
      <c r="I26" s="175" t="s">
        <v>34</v>
      </c>
      <c r="J26" s="186"/>
      <c r="K26" s="186"/>
      <c r="L26" s="186"/>
      <c r="M26" s="184" t="s">
        <v>35</v>
      </c>
      <c r="N26" s="185"/>
      <c r="P26" s="3"/>
      <c r="Q26" s="3"/>
    </row>
    <row r="27" spans="1:17" ht="45" customHeight="1">
      <c r="A27" s="1"/>
      <c r="B27" s="67" t="s">
        <v>18</v>
      </c>
      <c r="C27" s="67" t="s">
        <v>36</v>
      </c>
      <c r="D27" s="67" t="s">
        <v>37</v>
      </c>
      <c r="E27" s="67" t="s">
        <v>38</v>
      </c>
      <c r="G27" s="67" t="s">
        <v>39</v>
      </c>
      <c r="H27" s="1"/>
      <c r="I27" s="96" t="s">
        <v>27</v>
      </c>
      <c r="J27" s="97" t="s">
        <v>56</v>
      </c>
      <c r="K27" s="3"/>
      <c r="L27" s="3"/>
      <c r="M27" s="36" t="s">
        <v>40</v>
      </c>
      <c r="N27" s="37" t="s">
        <v>56</v>
      </c>
      <c r="Q27" s="3"/>
    </row>
    <row r="28" spans="1:17" ht="15" customHeight="1" thickBot="1">
      <c r="A28" s="1"/>
      <c r="B28" s="98">
        <f>SUM(C20:C22)</f>
        <v>0</v>
      </c>
      <c r="C28" s="98">
        <f>COUNTIF(D20:F22,"&gt;=16")</f>
        <v>0</v>
      </c>
      <c r="D28" s="98">
        <f>(COUNTIF(D20:F22,"&gt;0")-C28)/2</f>
        <v>0</v>
      </c>
      <c r="E28" s="98">
        <f>SUM(B28:D28)</f>
        <v>0</v>
      </c>
      <c r="G28" s="99">
        <v>0</v>
      </c>
      <c r="H28" s="1"/>
      <c r="I28" s="100">
        <v>24</v>
      </c>
      <c r="J28" s="101" t="str">
        <f>IF(E28*I28=0,"----",E28*I28)</f>
        <v>----</v>
      </c>
      <c r="K28" s="3"/>
      <c r="L28" s="3"/>
      <c r="M28" s="102">
        <v>12</v>
      </c>
      <c r="N28" s="76" t="str">
        <f>IF($G28=0,"----",M28*$G28)</f>
        <v>----</v>
      </c>
      <c r="Q28" s="3"/>
    </row>
    <row r="29" spans="1:17" ht="15" customHeight="1" thickBot="1">
      <c r="A29" s="1"/>
      <c r="B29" s="12"/>
      <c r="C29" s="12"/>
      <c r="D29" s="12"/>
      <c r="E29" s="103"/>
      <c r="F29" s="12"/>
      <c r="G29" s="12"/>
      <c r="H29" s="1"/>
      <c r="I29" s="104"/>
      <c r="J29" s="105"/>
      <c r="K29" s="105"/>
      <c r="L29" s="106"/>
      <c r="M29" s="54" t="s">
        <v>41</v>
      </c>
      <c r="N29" s="83" t="str">
        <f>IF(SUM(J28,N28)=0,"----",SUM((J28,N28)))</f>
        <v>----</v>
      </c>
      <c r="Q29" s="3"/>
    </row>
    <row r="30" spans="1:15" s="12" customFormat="1" ht="15" customHeight="1">
      <c r="A30" s="5"/>
      <c r="E30" s="2"/>
      <c r="F30" s="2"/>
      <c r="H30" s="5"/>
      <c r="I30" s="2"/>
      <c r="J30" s="2"/>
      <c r="K30" s="2"/>
      <c r="L30" s="2"/>
      <c r="M30" s="2"/>
      <c r="N30" s="2"/>
      <c r="O30" s="11"/>
    </row>
    <row r="31" spans="1:15" s="12" customFormat="1" ht="20.25" customHeight="1">
      <c r="A31" s="5"/>
      <c r="H31" s="5"/>
      <c r="I31" s="2"/>
      <c r="J31" s="2"/>
      <c r="K31" s="2"/>
      <c r="L31" s="2"/>
      <c r="M31" s="23" t="s">
        <v>42</v>
      </c>
      <c r="N31" s="107">
        <f>SUM(N14,N23,N29)</f>
        <v>0</v>
      </c>
      <c r="O31" s="11"/>
    </row>
    <row r="32" spans="1:14" ht="15.75" thickBot="1">
      <c r="A32" s="1"/>
      <c r="B32" s="2"/>
      <c r="C32" s="2"/>
      <c r="D32" s="2"/>
      <c r="E32" s="2"/>
      <c r="F32" s="2"/>
      <c r="H32" s="1"/>
      <c r="M32" s="23" t="s">
        <v>43</v>
      </c>
      <c r="N32" s="107">
        <f>IF(G34=0,"",G34)</f>
      </c>
    </row>
    <row r="33" spans="1:14" ht="19.5" customHeight="1" thickBot="1">
      <c r="A33" s="1"/>
      <c r="B33" s="108" t="s">
        <v>44</v>
      </c>
      <c r="C33" s="109"/>
      <c r="D33" s="109"/>
      <c r="E33" s="109"/>
      <c r="F33" s="109"/>
      <c r="G33" s="110"/>
      <c r="H33" s="1"/>
      <c r="M33" s="111" t="s">
        <v>54</v>
      </c>
      <c r="N33" s="112">
        <f>IF(G34=0,"",SUM(N31:N32))</f>
      </c>
    </row>
    <row r="34" spans="1:14" ht="19.5" customHeight="1">
      <c r="A34" s="1"/>
      <c r="B34" s="183" t="s">
        <v>45</v>
      </c>
      <c r="C34" s="183"/>
      <c r="D34" s="183"/>
      <c r="E34" s="183"/>
      <c r="F34" s="183"/>
      <c r="G34" s="113">
        <v>0</v>
      </c>
      <c r="H34" s="1"/>
      <c r="M34" s="111"/>
      <c r="N34" s="114" t="s">
        <v>55</v>
      </c>
    </row>
    <row r="35" spans="1:14" ht="19.5" customHeight="1">
      <c r="A35" s="1"/>
      <c r="B35" s="1"/>
      <c r="C35" s="1"/>
      <c r="D35" s="1"/>
      <c r="E35" s="1"/>
      <c r="F35" s="1"/>
      <c r="G35" s="1"/>
      <c r="H35" s="1"/>
      <c r="I35" s="115" t="s">
        <v>46</v>
      </c>
      <c r="J35" s="29"/>
      <c r="K35" s="29"/>
      <c r="L35" s="29"/>
      <c r="M35" s="29"/>
      <c r="N35" s="29"/>
    </row>
    <row r="36" spans="1:17" ht="12.75">
      <c r="A36" s="2"/>
      <c r="B36" s="2"/>
      <c r="C36" s="2"/>
      <c r="D36" s="2"/>
      <c r="E36" s="2"/>
      <c r="F36" s="2"/>
      <c r="H36" s="2"/>
      <c r="P36" s="116"/>
      <c r="Q36" s="116"/>
    </row>
    <row r="37" ht="28.5" customHeight="1">
      <c r="H37" s="2"/>
    </row>
    <row r="38" ht="12.75">
      <c r="H38" s="2"/>
    </row>
    <row r="57" spans="2:7" ht="12.75">
      <c r="B57" s="11"/>
      <c r="C57" s="11"/>
      <c r="G57" s="12"/>
    </row>
  </sheetData>
  <sheetProtection/>
  <mergeCells count="14">
    <mergeCell ref="B34:F34"/>
    <mergeCell ref="I11:N11"/>
    <mergeCell ref="I17:N17"/>
    <mergeCell ref="I18:N18"/>
    <mergeCell ref="I26:L26"/>
    <mergeCell ref="M26:N26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50"/>
  </sheetPr>
  <dimension ref="A1:Q6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Zambia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244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39865</v>
      </c>
      <c r="J13" s="119">
        <v>39927</v>
      </c>
      <c r="K13" s="44">
        <f>+J13-I13+1</f>
        <v>63</v>
      </c>
      <c r="L13" s="129">
        <v>2.91</v>
      </c>
      <c r="M13" s="130">
        <f>ROUND(K13*L13,2)</f>
        <v>183.33</v>
      </c>
      <c r="N13" s="46" t="str">
        <f>IF($G13=0,"----",M13)</f>
        <v>----</v>
      </c>
      <c r="P13" s="3"/>
      <c r="Q13" s="3"/>
    </row>
    <row r="14" spans="1:17" ht="15" customHeight="1" thickBot="1">
      <c r="A14" s="1"/>
      <c r="B14" s="2"/>
      <c r="C14" s="2"/>
      <c r="D14" s="41"/>
      <c r="E14" s="41"/>
      <c r="F14" s="42" t="s">
        <v>47</v>
      </c>
      <c r="G14" s="43">
        <v>0</v>
      </c>
      <c r="H14" s="1"/>
      <c r="I14" s="118">
        <v>40019</v>
      </c>
      <c r="J14" s="119">
        <v>40081</v>
      </c>
      <c r="K14" s="44">
        <f>+J14-I14+1</f>
        <v>63</v>
      </c>
      <c r="L14" s="129">
        <v>2.91</v>
      </c>
      <c r="M14" s="130">
        <f>ROUND(K14*L14,2)</f>
        <v>183.33</v>
      </c>
      <c r="N14" s="46" t="str">
        <f>IF($G14=0,"----",M14)</f>
        <v>----</v>
      </c>
      <c r="P14" s="3"/>
      <c r="Q14" s="3"/>
    </row>
    <row r="15" spans="1:17" ht="20.25" customHeight="1" thickBot="1">
      <c r="A15" s="1"/>
      <c r="B15" s="2"/>
      <c r="C15" s="2"/>
      <c r="D15" s="2"/>
      <c r="E15" s="2"/>
      <c r="F15" s="2"/>
      <c r="H15" s="1"/>
      <c r="I15" s="50"/>
      <c r="J15" s="51"/>
      <c r="K15" s="52"/>
      <c r="L15" s="53"/>
      <c r="M15" s="54" t="s">
        <v>13</v>
      </c>
      <c r="N15" s="55" t="str">
        <f>IF(SUM(N13:N14)=0,"----",SUM((N13:N14)))</f>
        <v>----</v>
      </c>
      <c r="P15" s="3"/>
      <c r="Q15" s="3"/>
    </row>
    <row r="16" spans="1:17" ht="15" customHeight="1" thickBot="1">
      <c r="A16" s="1"/>
      <c r="B16" s="2"/>
      <c r="C16" s="2"/>
      <c r="D16" s="2"/>
      <c r="E16" s="2"/>
      <c r="F16" s="2"/>
      <c r="H16" s="1"/>
      <c r="I16" s="20"/>
      <c r="J16" s="20"/>
      <c r="K16" s="21"/>
      <c r="L16" s="22"/>
      <c r="M16" s="23"/>
      <c r="N16" s="23"/>
      <c r="P16" s="3"/>
      <c r="Q16" s="3"/>
    </row>
    <row r="17" spans="1:17" s="12" customFormat="1" ht="25.5" customHeight="1">
      <c r="A17" s="5"/>
      <c r="B17" s="56"/>
      <c r="C17" s="56"/>
      <c r="D17" s="56"/>
      <c r="E17" s="56"/>
      <c r="F17" s="56"/>
      <c r="H17" s="5"/>
      <c r="I17" s="24" t="s">
        <v>14</v>
      </c>
      <c r="J17" s="25"/>
      <c r="K17" s="25"/>
      <c r="L17" s="25"/>
      <c r="M17" s="25"/>
      <c r="N17" s="57"/>
      <c r="O17" s="11"/>
      <c r="P17" s="2"/>
      <c r="Q17" s="2"/>
    </row>
    <row r="18" spans="1:17" ht="27" customHeight="1">
      <c r="A18" s="1"/>
      <c r="B18" s="58" t="s">
        <v>15</v>
      </c>
      <c r="C18" s="59"/>
      <c r="D18" s="60"/>
      <c r="E18" s="60"/>
      <c r="F18" s="60"/>
      <c r="G18" s="61"/>
      <c r="H18" s="1"/>
      <c r="I18" s="175" t="s">
        <v>58</v>
      </c>
      <c r="J18" s="176"/>
      <c r="K18" s="176"/>
      <c r="L18" s="176"/>
      <c r="M18" s="176"/>
      <c r="N18" s="177"/>
      <c r="Q18" s="3"/>
    </row>
    <row r="19" spans="1:17" ht="12.75">
      <c r="A19" s="1"/>
      <c r="B19" s="62" t="s">
        <v>16</v>
      </c>
      <c r="D19" s="63"/>
      <c r="E19" s="63"/>
      <c r="F19" s="63"/>
      <c r="G19" s="64"/>
      <c r="H19" s="1"/>
      <c r="I19" s="178" t="str">
        <f>"For FAFSA filers, your Untaxed Income is ---&gt; $"&amp;ROUND(SUM(B21:B30),2)</f>
        <v>For FAFSA filers, your Untaxed Income is ---&gt; $0</v>
      </c>
      <c r="J19" s="179"/>
      <c r="K19" s="179"/>
      <c r="L19" s="179"/>
      <c r="M19" s="179"/>
      <c r="N19" s="180"/>
      <c r="P19" s="3"/>
      <c r="Q19" s="3"/>
    </row>
    <row r="20" spans="1:16" s="71" customFormat="1" ht="45" customHeight="1">
      <c r="A20" s="65"/>
      <c r="B20" s="66" t="s">
        <v>17</v>
      </c>
      <c r="C20" s="67" t="s">
        <v>18</v>
      </c>
      <c r="D20" s="67" t="s">
        <v>19</v>
      </c>
      <c r="E20" s="67" t="s">
        <v>20</v>
      </c>
      <c r="F20" s="67" t="s">
        <v>21</v>
      </c>
      <c r="G20" s="67" t="s">
        <v>22</v>
      </c>
      <c r="H20" s="65"/>
      <c r="I20" s="68" t="s">
        <v>23</v>
      </c>
      <c r="J20" s="69" t="s">
        <v>24</v>
      </c>
      <c r="K20" s="36" t="s">
        <v>25</v>
      </c>
      <c r="L20" s="36" t="s">
        <v>26</v>
      </c>
      <c r="M20" s="36" t="s">
        <v>27</v>
      </c>
      <c r="N20" s="37" t="s">
        <v>56</v>
      </c>
      <c r="O20" s="70"/>
      <c r="P20" s="2"/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50</v>
      </c>
      <c r="J21" s="121" t="s">
        <v>260</v>
      </c>
      <c r="K21" s="125">
        <v>301.94</v>
      </c>
      <c r="L21" s="122">
        <v>0.32</v>
      </c>
      <c r="M21" s="126">
        <f>ROUND(K21*L21,2)</f>
        <v>96.62</v>
      </c>
      <c r="N21" s="75" t="str">
        <f>IF($G21=0,"----",M21*$G21)</f>
        <v>----</v>
      </c>
    </row>
    <row r="22" spans="1:14" ht="15" customHeight="1">
      <c r="A22" s="1"/>
      <c r="B22" s="72"/>
      <c r="C22" s="73"/>
      <c r="D22" s="73"/>
      <c r="E22" s="73"/>
      <c r="F22" s="73"/>
      <c r="G22" s="74"/>
      <c r="H22" s="1"/>
      <c r="I22" s="124" t="s">
        <v>62</v>
      </c>
      <c r="J22" s="121" t="s">
        <v>260</v>
      </c>
      <c r="K22" s="125">
        <v>207.02</v>
      </c>
      <c r="L22" s="122">
        <v>0.28</v>
      </c>
      <c r="M22" s="126">
        <f aca="true" t="shared" si="0" ref="M22:M30">ROUND(K22*L22,2)</f>
        <v>57.97</v>
      </c>
      <c r="N22" s="75"/>
    </row>
    <row r="23" spans="1:14" ht="15" customHeight="1">
      <c r="A23" s="1"/>
      <c r="B23" s="72"/>
      <c r="C23" s="73"/>
      <c r="D23" s="73"/>
      <c r="E23" s="73"/>
      <c r="F23" s="73"/>
      <c r="G23" s="74"/>
      <c r="H23" s="1"/>
      <c r="I23" s="124" t="s">
        <v>50</v>
      </c>
      <c r="J23" s="121" t="s">
        <v>259</v>
      </c>
      <c r="K23" s="125">
        <v>301.94</v>
      </c>
      <c r="L23" s="122">
        <v>0.32</v>
      </c>
      <c r="M23" s="126">
        <f t="shared" si="0"/>
        <v>96.62</v>
      </c>
      <c r="N23" s="75"/>
    </row>
    <row r="24" spans="1:14" ht="15" customHeight="1">
      <c r="A24" s="1"/>
      <c r="B24" s="72"/>
      <c r="C24" s="73"/>
      <c r="D24" s="73"/>
      <c r="E24" s="73"/>
      <c r="F24" s="73"/>
      <c r="G24" s="74"/>
      <c r="H24" s="1"/>
      <c r="I24" s="124" t="s">
        <v>62</v>
      </c>
      <c r="J24" s="121" t="s">
        <v>259</v>
      </c>
      <c r="K24" s="125">
        <v>207.94</v>
      </c>
      <c r="L24" s="122">
        <v>0.28</v>
      </c>
      <c r="M24" s="126">
        <f t="shared" si="0"/>
        <v>58.22</v>
      </c>
      <c r="N24" s="75"/>
    </row>
    <row r="25" spans="1:14" ht="15" customHeight="1">
      <c r="A25" s="1"/>
      <c r="B25" s="72"/>
      <c r="C25" s="73"/>
      <c r="D25" s="73"/>
      <c r="E25" s="73"/>
      <c r="F25" s="73"/>
      <c r="G25" s="74"/>
      <c r="H25" s="1"/>
      <c r="I25" s="124" t="s">
        <v>50</v>
      </c>
      <c r="J25" s="121" t="s">
        <v>258</v>
      </c>
      <c r="K25" s="125">
        <v>348.13</v>
      </c>
      <c r="L25" s="122">
        <v>0.32</v>
      </c>
      <c r="M25" s="126">
        <f t="shared" si="0"/>
        <v>111.4</v>
      </c>
      <c r="N25" s="75"/>
    </row>
    <row r="26" spans="1:14" ht="15" customHeight="1">
      <c r="A26" s="1"/>
      <c r="B26" s="72" t="str">
        <f>IF($G26=0,"----",(K26-M26)*$G26)</f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>C26+D26/29+E26/30+F26/31</f>
        <v>0</v>
      </c>
      <c r="H26" s="1"/>
      <c r="I26" s="124" t="s">
        <v>62</v>
      </c>
      <c r="J26" s="121" t="s">
        <v>258</v>
      </c>
      <c r="K26" s="125">
        <v>238.68</v>
      </c>
      <c r="L26" s="122">
        <v>0.28</v>
      </c>
      <c r="M26" s="126">
        <f t="shared" si="0"/>
        <v>66.83</v>
      </c>
      <c r="N26" s="75" t="str">
        <f>IF($G26=0,"----",M26*$G26)</f>
        <v>----</v>
      </c>
    </row>
    <row r="27" spans="1:14" ht="15" customHeight="1">
      <c r="A27" s="1"/>
      <c r="B27" s="72"/>
      <c r="C27" s="73"/>
      <c r="D27" s="73"/>
      <c r="E27" s="73"/>
      <c r="F27" s="73"/>
      <c r="G27" s="74"/>
      <c r="H27" s="1"/>
      <c r="I27" s="124" t="s">
        <v>50</v>
      </c>
      <c r="J27" s="121" t="s">
        <v>257</v>
      </c>
      <c r="K27" s="125">
        <v>364.92</v>
      </c>
      <c r="L27" s="122">
        <v>0.32</v>
      </c>
      <c r="M27" s="126">
        <f t="shared" si="0"/>
        <v>116.77</v>
      </c>
      <c r="N27" s="75"/>
    </row>
    <row r="28" spans="1:14" ht="15" customHeight="1">
      <c r="A28" s="1"/>
      <c r="B28" s="72" t="str">
        <f>IF($G28=0,"----",(K28-M28)*$G28)</f>
        <v>----</v>
      </c>
      <c r="C28" s="73">
        <v>0</v>
      </c>
      <c r="D28" s="73">
        <v>0</v>
      </c>
      <c r="E28" s="73">
        <v>0</v>
      </c>
      <c r="F28" s="73">
        <v>0</v>
      </c>
      <c r="G28" s="74">
        <f>C28+D28/29+E28/30+F28/31</f>
        <v>0</v>
      </c>
      <c r="H28" s="1"/>
      <c r="I28" s="124" t="s">
        <v>62</v>
      </c>
      <c r="J28" s="121" t="s">
        <v>257</v>
      </c>
      <c r="K28" s="125">
        <v>250.19</v>
      </c>
      <c r="L28" s="122">
        <v>0.28</v>
      </c>
      <c r="M28" s="126">
        <f t="shared" si="0"/>
        <v>70.05</v>
      </c>
      <c r="N28" s="75" t="str">
        <f>IF($G28=0,"----",M28*$G28)</f>
        <v>----</v>
      </c>
    </row>
    <row r="29" spans="1:14" ht="15" customHeight="1">
      <c r="A29" s="1"/>
      <c r="B29" s="72" t="str">
        <f>IF($G29=0,"----",(K29-M29)*$G29)</f>
        <v>----</v>
      </c>
      <c r="C29" s="73">
        <v>0</v>
      </c>
      <c r="D29" s="73">
        <v>0</v>
      </c>
      <c r="E29" s="73">
        <v>0</v>
      </c>
      <c r="F29" s="73">
        <v>0</v>
      </c>
      <c r="G29" s="74">
        <f>C29+D29/29+E29/30+F29/31</f>
        <v>0</v>
      </c>
      <c r="H29" s="1"/>
      <c r="I29" s="124" t="s">
        <v>50</v>
      </c>
      <c r="J29" s="121" t="s">
        <v>129</v>
      </c>
      <c r="K29" s="125">
        <v>398.66</v>
      </c>
      <c r="L29" s="122">
        <v>0.32</v>
      </c>
      <c r="M29" s="126">
        <f t="shared" si="0"/>
        <v>127.57</v>
      </c>
      <c r="N29" s="75" t="str">
        <f>IF($G29=0,"----",M29*$G29)</f>
        <v>----</v>
      </c>
    </row>
    <row r="30" spans="1:14" ht="15" customHeight="1" thickBot="1">
      <c r="A30" s="1"/>
      <c r="B30" s="72" t="str">
        <f>IF($G30=0,"----",(K30-M30)*$G30)</f>
        <v>----</v>
      </c>
      <c r="C30" s="73">
        <v>0</v>
      </c>
      <c r="D30" s="73">
        <v>0</v>
      </c>
      <c r="E30" s="73">
        <v>0</v>
      </c>
      <c r="F30" s="73">
        <v>0</v>
      </c>
      <c r="G30" s="74">
        <f>C30+D30/29+E30/30+F30/31</f>
        <v>0</v>
      </c>
      <c r="H30" s="1"/>
      <c r="I30" s="124" t="s">
        <v>62</v>
      </c>
      <c r="J30" s="121" t="s">
        <v>129</v>
      </c>
      <c r="K30" s="125">
        <v>273.33</v>
      </c>
      <c r="L30" s="122">
        <v>0.28</v>
      </c>
      <c r="M30" s="126">
        <f t="shared" si="0"/>
        <v>76.53</v>
      </c>
      <c r="N30" s="75" t="str">
        <f>IF($G30=0,"----",M30*$G30)</f>
        <v>----</v>
      </c>
    </row>
    <row r="31" spans="1:16" ht="20.25" customHeight="1" thickBot="1">
      <c r="A31" s="1"/>
      <c r="B31" s="78">
        <f>SUM(B21:B30)</f>
        <v>0</v>
      </c>
      <c r="C31" s="79"/>
      <c r="D31" s="79"/>
      <c r="E31" s="79"/>
      <c r="F31" s="79"/>
      <c r="G31" s="79"/>
      <c r="H31" s="1"/>
      <c r="I31" s="80"/>
      <c r="J31" s="52"/>
      <c r="K31" s="81"/>
      <c r="L31" s="82"/>
      <c r="M31" s="54" t="s">
        <v>29</v>
      </c>
      <c r="N31" s="83" t="str">
        <f>IF(SUM(N21:N30)=0,"----",SUM((N21:N30)))</f>
        <v>----</v>
      </c>
      <c r="P31" s="84"/>
    </row>
    <row r="32" spans="1:14" ht="15" customHeight="1" thickBot="1">
      <c r="A32" s="1"/>
      <c r="B32" s="79"/>
      <c r="C32" s="79"/>
      <c r="D32" s="79"/>
      <c r="E32" s="79"/>
      <c r="F32" s="79"/>
      <c r="H32" s="1"/>
      <c r="I32" s="85"/>
      <c r="J32" s="21"/>
      <c r="K32" s="86"/>
      <c r="L32" s="87"/>
      <c r="M32" s="23"/>
      <c r="N32" s="23"/>
    </row>
    <row r="33" spans="1:17" ht="25.5" customHeight="1">
      <c r="A33" s="1"/>
      <c r="B33" s="71"/>
      <c r="C33" s="2"/>
      <c r="D33" s="2"/>
      <c r="E33" s="2"/>
      <c r="F33" s="71"/>
      <c r="H33" s="1"/>
      <c r="I33" s="24" t="s">
        <v>30</v>
      </c>
      <c r="J33" s="25"/>
      <c r="K33" s="88"/>
      <c r="L33" s="89"/>
      <c r="M33" s="90" t="s">
        <v>31</v>
      </c>
      <c r="N33" s="26"/>
      <c r="P33" s="91"/>
      <c r="Q33" s="3"/>
    </row>
    <row r="34" spans="1:17" ht="28.5" customHeight="1">
      <c r="A34" s="1"/>
      <c r="B34" s="92" t="s">
        <v>32</v>
      </c>
      <c r="C34" s="93"/>
      <c r="D34" s="93"/>
      <c r="E34" s="94"/>
      <c r="F34" s="71"/>
      <c r="G34" s="95" t="s">
        <v>33</v>
      </c>
      <c r="H34" s="1"/>
      <c r="I34" s="175" t="s">
        <v>34</v>
      </c>
      <c r="J34" s="186"/>
      <c r="K34" s="186"/>
      <c r="L34" s="186"/>
      <c r="M34" s="184" t="s">
        <v>35</v>
      </c>
      <c r="N34" s="185"/>
      <c r="P34" s="3"/>
      <c r="Q34" s="3"/>
    </row>
    <row r="35" spans="1:17" ht="45" customHeight="1">
      <c r="A35" s="1"/>
      <c r="B35" s="67" t="s">
        <v>18</v>
      </c>
      <c r="C35" s="67" t="s">
        <v>36</v>
      </c>
      <c r="D35" s="67" t="s">
        <v>37</v>
      </c>
      <c r="E35" s="67" t="s">
        <v>38</v>
      </c>
      <c r="G35" s="67" t="s">
        <v>39</v>
      </c>
      <c r="H35" s="1"/>
      <c r="I35" s="96" t="s">
        <v>27</v>
      </c>
      <c r="J35" s="97" t="s">
        <v>56</v>
      </c>
      <c r="K35" s="3"/>
      <c r="L35" s="3"/>
      <c r="M35" s="36" t="s">
        <v>40</v>
      </c>
      <c r="N35" s="37" t="s">
        <v>56</v>
      </c>
      <c r="Q35" s="3"/>
    </row>
    <row r="36" spans="1:17" ht="15" customHeight="1" thickBot="1">
      <c r="A36" s="1"/>
      <c r="B36" s="98">
        <f>SUM(C21:C30)</f>
        <v>0</v>
      </c>
      <c r="C36" s="98">
        <f>COUNTIF(D21:F30,"&gt;=16")</f>
        <v>0</v>
      </c>
      <c r="D36" s="98">
        <f>(COUNTIF(D21:F30,"&gt;0")-C36)/2</f>
        <v>0</v>
      </c>
      <c r="E36" s="98">
        <f>SUM(B36:D36)</f>
        <v>0</v>
      </c>
      <c r="G36" s="99">
        <v>0</v>
      </c>
      <c r="H36" s="1"/>
      <c r="I36" s="100">
        <v>24</v>
      </c>
      <c r="J36" s="101" t="str">
        <f>IF(E36*I36=0,"----",E36*I36)</f>
        <v>----</v>
      </c>
      <c r="K36" s="3"/>
      <c r="L36" s="3"/>
      <c r="M36" s="102">
        <v>12</v>
      </c>
      <c r="N36" s="76" t="str">
        <f>IF($G36=0,"----",M36*$G36)</f>
        <v>----</v>
      </c>
      <c r="Q36" s="3"/>
    </row>
    <row r="37" spans="1:17" ht="15" customHeight="1" thickBot="1">
      <c r="A37" s="1"/>
      <c r="B37" s="12"/>
      <c r="C37" s="12"/>
      <c r="D37" s="12"/>
      <c r="E37" s="103"/>
      <c r="F37" s="12"/>
      <c r="G37" s="12"/>
      <c r="H37" s="1"/>
      <c r="I37" s="104"/>
      <c r="J37" s="105"/>
      <c r="K37" s="105"/>
      <c r="L37" s="106"/>
      <c r="M37" s="54" t="s">
        <v>41</v>
      </c>
      <c r="N37" s="83" t="str">
        <f>IF(SUM(J36,N36)=0,"----",SUM((J36,N36)))</f>
        <v>----</v>
      </c>
      <c r="Q37" s="3"/>
    </row>
    <row r="38" spans="1:15" s="12" customFormat="1" ht="15" customHeight="1">
      <c r="A38" s="5"/>
      <c r="E38" s="2"/>
      <c r="F38" s="2"/>
      <c r="H38" s="5"/>
      <c r="I38" s="2"/>
      <c r="J38" s="2"/>
      <c r="K38" s="2"/>
      <c r="L38" s="2"/>
      <c r="M38" s="2"/>
      <c r="N38" s="2"/>
      <c r="O38" s="11"/>
    </row>
    <row r="39" spans="1:15" s="12" customFormat="1" ht="20.25" customHeight="1">
      <c r="A39" s="5"/>
      <c r="H39" s="5"/>
      <c r="I39" s="2"/>
      <c r="J39" s="2"/>
      <c r="K39" s="2"/>
      <c r="L39" s="2"/>
      <c r="M39" s="23" t="s">
        <v>42</v>
      </c>
      <c r="N39" s="107">
        <f>SUM(N15,N31,N37)</f>
        <v>0</v>
      </c>
      <c r="O39" s="11"/>
    </row>
    <row r="40" spans="1:14" ht="15.75" thickBot="1">
      <c r="A40" s="1"/>
      <c r="B40" s="2"/>
      <c r="C40" s="2"/>
      <c r="D40" s="2"/>
      <c r="E40" s="2"/>
      <c r="F40" s="2"/>
      <c r="H40" s="1"/>
      <c r="M40" s="23" t="s">
        <v>43</v>
      </c>
      <c r="N40" s="107">
        <f>IF(G42=0,"",G42)</f>
      </c>
    </row>
    <row r="41" spans="1:14" ht="19.5" customHeight="1" thickBot="1">
      <c r="A41" s="1"/>
      <c r="B41" s="108" t="s">
        <v>44</v>
      </c>
      <c r="C41" s="109"/>
      <c r="D41" s="109"/>
      <c r="E41" s="109"/>
      <c r="F41" s="109"/>
      <c r="G41" s="110"/>
      <c r="H41" s="1"/>
      <c r="M41" s="111" t="s">
        <v>54</v>
      </c>
      <c r="N41" s="112">
        <f>IF(G42=0,"",SUM(N39:N40))</f>
      </c>
    </row>
    <row r="42" spans="1:14" ht="19.5" customHeight="1">
      <c r="A42" s="1"/>
      <c r="B42" s="183" t="s">
        <v>45</v>
      </c>
      <c r="C42" s="183"/>
      <c r="D42" s="183"/>
      <c r="E42" s="183"/>
      <c r="F42" s="183"/>
      <c r="G42" s="113">
        <v>0</v>
      </c>
      <c r="H42" s="1"/>
      <c r="M42" s="111"/>
      <c r="N42" s="114" t="s">
        <v>55</v>
      </c>
    </row>
    <row r="43" spans="1:14" ht="19.5" customHeight="1">
      <c r="A43" s="1"/>
      <c r="B43" s="1"/>
      <c r="C43" s="1"/>
      <c r="D43" s="1"/>
      <c r="E43" s="1"/>
      <c r="F43" s="1"/>
      <c r="G43" s="1"/>
      <c r="H43" s="1"/>
      <c r="I43" s="115" t="s">
        <v>46</v>
      </c>
      <c r="J43" s="29"/>
      <c r="K43" s="29"/>
      <c r="L43" s="29"/>
      <c r="M43" s="29"/>
      <c r="N43" s="29"/>
    </row>
    <row r="44" spans="1:17" ht="12.75">
      <c r="A44" s="2"/>
      <c r="B44" s="2"/>
      <c r="C44" s="2"/>
      <c r="D44" s="2"/>
      <c r="E44" s="2"/>
      <c r="F44" s="2"/>
      <c r="H44" s="2"/>
      <c r="P44" s="116"/>
      <c r="Q44" s="116"/>
    </row>
    <row r="45" ht="28.5" customHeight="1">
      <c r="H45" s="2"/>
    </row>
    <row r="46" ht="12.75">
      <c r="H46" s="2"/>
    </row>
    <row r="65" spans="2:7" ht="12.75">
      <c r="B65" s="11"/>
      <c r="C65" s="11"/>
      <c r="G65" s="12"/>
    </row>
  </sheetData>
  <sheetProtection/>
  <mergeCells count="14">
    <mergeCell ref="B42:F42"/>
    <mergeCell ref="C8:D8"/>
    <mergeCell ref="E8:G8"/>
    <mergeCell ref="I11:N11"/>
    <mergeCell ref="I18:N18"/>
    <mergeCell ref="I19:N19"/>
    <mergeCell ref="I34:L34"/>
    <mergeCell ref="M34:N34"/>
    <mergeCell ref="B2:G4"/>
    <mergeCell ref="B5:G5"/>
    <mergeCell ref="C6:D6"/>
    <mergeCell ref="E6:G6"/>
    <mergeCell ref="C7:D7"/>
    <mergeCell ref="E7:G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6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19.57421875" style="2" customWidth="1"/>
    <col min="10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Armenia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194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39965</v>
      </c>
      <c r="J13" s="119">
        <v>40039</v>
      </c>
      <c r="K13" s="44">
        <f>+J13-I13+1</f>
        <v>75</v>
      </c>
      <c r="L13" s="129">
        <v>3.04</v>
      </c>
      <c r="M13" s="130">
        <f>ROUND(K13*L13,2)</f>
        <v>228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$"&amp;ROUND(SUM(B20:B29),2)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 aca="true" t="shared" si="0" ref="B20:B29"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 aca="true" t="shared" si="1" ref="G20:G29">C20+D20/29+E20/30+F20/31</f>
        <v>0</v>
      </c>
      <c r="H20" s="1"/>
      <c r="I20" s="137" t="s">
        <v>64</v>
      </c>
      <c r="J20" s="134" t="s">
        <v>88</v>
      </c>
      <c r="K20" s="135">
        <f>114000/361.8</f>
        <v>315.09121061359866</v>
      </c>
      <c r="L20" s="122">
        <v>0.35</v>
      </c>
      <c r="M20" s="126">
        <f aca="true" t="shared" si="2" ref="M20:M29">ROUND(K20*L20,2)</f>
        <v>110.28</v>
      </c>
      <c r="N20" s="75" t="str">
        <f aca="true" t="shared" si="3" ref="N20:N29">IF($G20=0,"----",M20*$G20)</f>
        <v>----</v>
      </c>
    </row>
    <row r="21" spans="1:14" ht="15" customHeight="1">
      <c r="A21" s="1"/>
      <c r="B21" s="72" t="str">
        <f t="shared" si="0"/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 t="shared" si="1"/>
        <v>0</v>
      </c>
      <c r="H21" s="1"/>
      <c r="I21" s="137" t="s">
        <v>195</v>
      </c>
      <c r="J21" s="134" t="s">
        <v>88</v>
      </c>
      <c r="K21" s="135">
        <f>(114000-20000/2)/361.8</f>
        <v>287.4516307352128</v>
      </c>
      <c r="L21" s="122">
        <v>0.35</v>
      </c>
      <c r="M21" s="126">
        <f t="shared" si="2"/>
        <v>100.61</v>
      </c>
      <c r="N21" s="75" t="str">
        <f t="shared" si="3"/>
        <v>----</v>
      </c>
    </row>
    <row r="22" spans="1:14" ht="15" customHeight="1">
      <c r="A22" s="1"/>
      <c r="B22" s="72" t="str">
        <f t="shared" si="0"/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 t="shared" si="1"/>
        <v>0</v>
      </c>
      <c r="H22" s="1"/>
      <c r="I22" s="133" t="s">
        <v>64</v>
      </c>
      <c r="J22" s="146" t="s">
        <v>143</v>
      </c>
      <c r="K22" s="135">
        <f>104000/361.8</f>
        <v>287.4516307352128</v>
      </c>
      <c r="L22" s="122">
        <v>0.35</v>
      </c>
      <c r="M22" s="126">
        <f t="shared" si="2"/>
        <v>100.61</v>
      </c>
      <c r="N22" s="75" t="str">
        <f t="shared" si="3"/>
        <v>----</v>
      </c>
    </row>
    <row r="23" spans="1:14" ht="15" customHeight="1">
      <c r="A23" s="1"/>
      <c r="B23" s="72" t="str">
        <f t="shared" si="0"/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 t="shared" si="1"/>
        <v>0</v>
      </c>
      <c r="H23" s="1"/>
      <c r="I23" s="137" t="s">
        <v>195</v>
      </c>
      <c r="J23" s="146" t="s">
        <v>143</v>
      </c>
      <c r="K23" s="135">
        <f>(104000-10000/2)/361.8</f>
        <v>273.6318407960199</v>
      </c>
      <c r="L23" s="122">
        <v>0.35</v>
      </c>
      <c r="M23" s="126">
        <f t="shared" si="2"/>
        <v>95.77</v>
      </c>
      <c r="N23" s="75" t="str">
        <f t="shared" si="3"/>
        <v>----</v>
      </c>
    </row>
    <row r="24" spans="1:14" ht="15" customHeight="1">
      <c r="A24" s="1"/>
      <c r="B24" s="72" t="str">
        <f t="shared" si="0"/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 t="shared" si="1"/>
        <v>0</v>
      </c>
      <c r="H24" s="1"/>
      <c r="I24" s="133" t="s">
        <v>64</v>
      </c>
      <c r="J24" s="134" t="s">
        <v>90</v>
      </c>
      <c r="K24" s="135">
        <f>106000/361.8</f>
        <v>292.97954671088996</v>
      </c>
      <c r="L24" s="122">
        <v>0.35</v>
      </c>
      <c r="M24" s="126">
        <f t="shared" si="2"/>
        <v>102.54</v>
      </c>
      <c r="N24" s="75" t="str">
        <f t="shared" si="3"/>
        <v>----</v>
      </c>
    </row>
    <row r="25" spans="1:14" ht="15" customHeight="1">
      <c r="A25" s="1"/>
      <c r="B25" s="72" t="str">
        <f t="shared" si="0"/>
        <v>----</v>
      </c>
      <c r="C25" s="73">
        <v>0</v>
      </c>
      <c r="D25" s="73">
        <v>0</v>
      </c>
      <c r="E25" s="73">
        <v>0</v>
      </c>
      <c r="F25" s="73">
        <v>0</v>
      </c>
      <c r="G25" s="74">
        <f t="shared" si="1"/>
        <v>0</v>
      </c>
      <c r="H25" s="1"/>
      <c r="I25" s="137" t="s">
        <v>195</v>
      </c>
      <c r="J25" s="134" t="s">
        <v>90</v>
      </c>
      <c r="K25" s="135">
        <f>(106000-12000/2)/361.8</f>
        <v>276.3957987838585</v>
      </c>
      <c r="L25" s="122">
        <v>0.35</v>
      </c>
      <c r="M25" s="126">
        <f t="shared" si="2"/>
        <v>96.74</v>
      </c>
      <c r="N25" s="75" t="str">
        <f t="shared" si="3"/>
        <v>----</v>
      </c>
    </row>
    <row r="26" spans="1:14" ht="15" customHeight="1">
      <c r="A26" s="1"/>
      <c r="B26" s="72" t="str">
        <f t="shared" si="0"/>
        <v>----</v>
      </c>
      <c r="C26" s="73">
        <v>0</v>
      </c>
      <c r="D26" s="73">
        <v>0</v>
      </c>
      <c r="E26" s="73">
        <v>0</v>
      </c>
      <c r="F26" s="73">
        <v>0</v>
      </c>
      <c r="G26" s="74">
        <f t="shared" si="1"/>
        <v>0</v>
      </c>
      <c r="H26" s="1"/>
      <c r="I26" s="133" t="s">
        <v>64</v>
      </c>
      <c r="J26" s="158" t="s">
        <v>149</v>
      </c>
      <c r="K26" s="135">
        <f>112000/361.8</f>
        <v>309.5632946379215</v>
      </c>
      <c r="L26" s="122">
        <v>0.35</v>
      </c>
      <c r="M26" s="126">
        <f t="shared" si="2"/>
        <v>108.35</v>
      </c>
      <c r="N26" s="75" t="str">
        <f t="shared" si="3"/>
        <v>----</v>
      </c>
    </row>
    <row r="27" spans="1:14" ht="15" customHeight="1">
      <c r="A27" s="1"/>
      <c r="B27" s="72" t="str">
        <f t="shared" si="0"/>
        <v>----</v>
      </c>
      <c r="C27" s="73">
        <v>0</v>
      </c>
      <c r="D27" s="73">
        <v>0</v>
      </c>
      <c r="E27" s="73">
        <v>0</v>
      </c>
      <c r="F27" s="73">
        <v>0</v>
      </c>
      <c r="G27" s="74">
        <f t="shared" si="1"/>
        <v>0</v>
      </c>
      <c r="H27" s="1"/>
      <c r="I27" s="137" t="s">
        <v>195</v>
      </c>
      <c r="J27" s="158" t="s">
        <v>149</v>
      </c>
      <c r="K27" s="135">
        <f>(112000-18000/2)/361.8</f>
        <v>284.6876727473742</v>
      </c>
      <c r="L27" s="122">
        <v>0.35</v>
      </c>
      <c r="M27" s="126">
        <f t="shared" si="2"/>
        <v>99.64</v>
      </c>
      <c r="N27" s="75" t="str">
        <f t="shared" si="3"/>
        <v>----</v>
      </c>
    </row>
    <row r="28" spans="1:14" ht="15" customHeight="1">
      <c r="A28" s="1"/>
      <c r="B28" s="72" t="str">
        <f t="shared" si="0"/>
        <v>----</v>
      </c>
      <c r="C28" s="73">
        <v>0</v>
      </c>
      <c r="D28" s="73">
        <v>0</v>
      </c>
      <c r="E28" s="73">
        <v>0</v>
      </c>
      <c r="F28" s="73">
        <v>0</v>
      </c>
      <c r="G28" s="74">
        <f t="shared" si="1"/>
        <v>0</v>
      </c>
      <c r="H28" s="1"/>
      <c r="I28" s="133" t="s">
        <v>64</v>
      </c>
      <c r="J28" s="159" t="s">
        <v>186</v>
      </c>
      <c r="K28" s="135">
        <f>118000/361.8</f>
        <v>326.147042564953</v>
      </c>
      <c r="L28" s="122">
        <v>0.35</v>
      </c>
      <c r="M28" s="126">
        <f t="shared" si="2"/>
        <v>114.15</v>
      </c>
      <c r="N28" s="75" t="str">
        <f t="shared" si="3"/>
        <v>----</v>
      </c>
    </row>
    <row r="29" spans="1:14" ht="15" customHeight="1" thickBot="1">
      <c r="A29" s="1"/>
      <c r="B29" s="72" t="str">
        <f t="shared" si="0"/>
        <v>----</v>
      </c>
      <c r="C29" s="73">
        <v>0</v>
      </c>
      <c r="D29" s="73">
        <v>0</v>
      </c>
      <c r="E29" s="73">
        <v>0</v>
      </c>
      <c r="F29" s="73">
        <v>0</v>
      </c>
      <c r="G29" s="74">
        <f t="shared" si="1"/>
        <v>0</v>
      </c>
      <c r="H29" s="1"/>
      <c r="I29" s="137" t="s">
        <v>195</v>
      </c>
      <c r="J29" s="159" t="s">
        <v>186</v>
      </c>
      <c r="K29" s="135">
        <f>(118000-24000/2)/361.8</f>
        <v>292.97954671088996</v>
      </c>
      <c r="L29" s="122">
        <v>0.35</v>
      </c>
      <c r="M29" s="126">
        <f t="shared" si="2"/>
        <v>102.54</v>
      </c>
      <c r="N29" s="75" t="str">
        <f t="shared" si="3"/>
        <v>----</v>
      </c>
    </row>
    <row r="30" spans="1:16" ht="20.25" customHeight="1" thickBot="1">
      <c r="A30" s="1"/>
      <c r="B30" s="78">
        <f>SUM(B20:B29)</f>
        <v>0</v>
      </c>
      <c r="C30" s="79"/>
      <c r="D30" s="79"/>
      <c r="E30" s="79"/>
      <c r="F30" s="79"/>
      <c r="G30" s="79"/>
      <c r="H30" s="1"/>
      <c r="I30" s="80"/>
      <c r="J30" s="52"/>
      <c r="K30" s="81"/>
      <c r="L30" s="82"/>
      <c r="M30" s="54" t="s">
        <v>29</v>
      </c>
      <c r="N30" s="83" t="str">
        <f>IF(SUM(N20:N29)=0,"----",SUM((N20:N29)))</f>
        <v>----</v>
      </c>
      <c r="P30" s="84"/>
    </row>
    <row r="31" spans="1:14" ht="15" customHeight="1" thickBot="1">
      <c r="A31" s="1"/>
      <c r="B31" s="79"/>
      <c r="C31" s="79"/>
      <c r="D31" s="79"/>
      <c r="E31" s="79"/>
      <c r="F31" s="79"/>
      <c r="H31" s="1"/>
      <c r="I31" s="85"/>
      <c r="J31" s="21"/>
      <c r="K31" s="86"/>
      <c r="L31" s="87"/>
      <c r="M31" s="23"/>
      <c r="N31" s="23"/>
    </row>
    <row r="32" spans="1:17" ht="25.5" customHeight="1">
      <c r="A32" s="1"/>
      <c r="B32" s="71"/>
      <c r="C32" s="2"/>
      <c r="D32" s="2"/>
      <c r="E32" s="2"/>
      <c r="F32" s="71"/>
      <c r="H32" s="1"/>
      <c r="I32" s="24" t="s">
        <v>30</v>
      </c>
      <c r="J32" s="25"/>
      <c r="K32" s="88"/>
      <c r="L32" s="89"/>
      <c r="M32" s="90" t="s">
        <v>31</v>
      </c>
      <c r="N32" s="26"/>
      <c r="P32" s="91"/>
      <c r="Q32" s="3"/>
    </row>
    <row r="33" spans="1:17" ht="28.5" customHeight="1">
      <c r="A33" s="1"/>
      <c r="B33" s="92" t="s">
        <v>32</v>
      </c>
      <c r="C33" s="93"/>
      <c r="D33" s="93"/>
      <c r="E33" s="94"/>
      <c r="F33" s="71"/>
      <c r="G33" s="95" t="s">
        <v>33</v>
      </c>
      <c r="H33" s="1"/>
      <c r="I33" s="175" t="s">
        <v>34</v>
      </c>
      <c r="J33" s="186"/>
      <c r="K33" s="186"/>
      <c r="L33" s="186"/>
      <c r="M33" s="184" t="s">
        <v>35</v>
      </c>
      <c r="N33" s="185"/>
      <c r="P33" s="3"/>
      <c r="Q33" s="3"/>
    </row>
    <row r="34" spans="1:17" ht="45" customHeight="1">
      <c r="A34" s="1"/>
      <c r="B34" s="67" t="s">
        <v>18</v>
      </c>
      <c r="C34" s="67" t="s">
        <v>36</v>
      </c>
      <c r="D34" s="67" t="s">
        <v>37</v>
      </c>
      <c r="E34" s="67" t="s">
        <v>38</v>
      </c>
      <c r="G34" s="67" t="s">
        <v>39</v>
      </c>
      <c r="H34" s="1"/>
      <c r="I34" s="96" t="s">
        <v>27</v>
      </c>
      <c r="J34" s="97" t="s">
        <v>56</v>
      </c>
      <c r="K34" s="3"/>
      <c r="L34" s="3"/>
      <c r="M34" s="36" t="s">
        <v>40</v>
      </c>
      <c r="N34" s="37" t="s">
        <v>56</v>
      </c>
      <c r="Q34" s="3"/>
    </row>
    <row r="35" spans="1:17" ht="15" customHeight="1" thickBot="1">
      <c r="A35" s="1"/>
      <c r="B35" s="98">
        <f>SUM(C20:C29)</f>
        <v>0</v>
      </c>
      <c r="C35" s="98">
        <f>COUNTIF(D20:F29,"&gt;=16")</f>
        <v>0</v>
      </c>
      <c r="D35" s="98">
        <f>(COUNTIF(D20:F29,"&gt;0")-C35)/2</f>
        <v>0</v>
      </c>
      <c r="E35" s="98">
        <f>SUM(B35:D35)</f>
        <v>0</v>
      </c>
      <c r="G35" s="99">
        <v>0</v>
      </c>
      <c r="H35" s="1"/>
      <c r="I35" s="100">
        <v>24</v>
      </c>
      <c r="J35" s="101" t="str">
        <f>IF(E35*I35=0,"----",E35*I35)</f>
        <v>----</v>
      </c>
      <c r="K35" s="3"/>
      <c r="L35" s="3"/>
      <c r="M35" s="102">
        <v>12</v>
      </c>
      <c r="N35" s="76" t="str">
        <f>IF($G35=0,"----",M35*$G35)</f>
        <v>----</v>
      </c>
      <c r="Q35" s="3"/>
    </row>
    <row r="36" spans="1:17" ht="15" customHeight="1" thickBot="1">
      <c r="A36" s="1"/>
      <c r="B36" s="12"/>
      <c r="C36" s="12"/>
      <c r="D36" s="12"/>
      <c r="E36" s="103"/>
      <c r="F36" s="12"/>
      <c r="G36" s="12"/>
      <c r="H36" s="1"/>
      <c r="I36" s="104"/>
      <c r="J36" s="105"/>
      <c r="K36" s="105"/>
      <c r="L36" s="106"/>
      <c r="M36" s="54" t="s">
        <v>41</v>
      </c>
      <c r="N36" s="83" t="str">
        <f>IF(SUM(J35,N35)=0,"----",SUM((J35,N35)))</f>
        <v>----</v>
      </c>
      <c r="Q36" s="3"/>
    </row>
    <row r="37" spans="1:15" s="12" customFormat="1" ht="15" customHeight="1">
      <c r="A37" s="5"/>
      <c r="E37" s="2"/>
      <c r="F37" s="2"/>
      <c r="H37" s="5"/>
      <c r="I37" s="2"/>
      <c r="J37" s="2"/>
      <c r="K37" s="2"/>
      <c r="L37" s="2"/>
      <c r="M37" s="2"/>
      <c r="N37" s="2"/>
      <c r="O37" s="11"/>
    </row>
    <row r="38" spans="1:15" s="12" customFormat="1" ht="20.25" customHeight="1">
      <c r="A38" s="5"/>
      <c r="H38" s="5"/>
      <c r="I38" s="2"/>
      <c r="J38" s="2"/>
      <c r="K38" s="2"/>
      <c r="L38" s="2"/>
      <c r="M38" s="23" t="s">
        <v>42</v>
      </c>
      <c r="N38" s="107">
        <f>SUM(N14,N30,N36)</f>
        <v>0</v>
      </c>
      <c r="O38" s="11"/>
    </row>
    <row r="39" spans="1:14" ht="15.75" thickBot="1">
      <c r="A39" s="1"/>
      <c r="B39" s="2"/>
      <c r="C39" s="2"/>
      <c r="D39" s="2"/>
      <c r="E39" s="2"/>
      <c r="F39" s="2"/>
      <c r="H39" s="1"/>
      <c r="M39" s="23" t="s">
        <v>43</v>
      </c>
      <c r="N39" s="107">
        <f>IF(G41=0,"",G41)</f>
      </c>
    </row>
    <row r="40" spans="1:14" ht="19.5" customHeight="1" thickBot="1">
      <c r="A40" s="1"/>
      <c r="B40" s="108" t="s">
        <v>44</v>
      </c>
      <c r="C40" s="109"/>
      <c r="D40" s="109"/>
      <c r="E40" s="109"/>
      <c r="F40" s="109"/>
      <c r="G40" s="110"/>
      <c r="H40" s="1"/>
      <c r="M40" s="111" t="s">
        <v>54</v>
      </c>
      <c r="N40" s="112">
        <f>IF(G41=0,"",SUM(N38:N39))</f>
      </c>
    </row>
    <row r="41" spans="1:14" ht="19.5" customHeight="1">
      <c r="A41" s="1"/>
      <c r="B41" s="183" t="s">
        <v>45</v>
      </c>
      <c r="C41" s="183"/>
      <c r="D41" s="183"/>
      <c r="E41" s="183"/>
      <c r="F41" s="183"/>
      <c r="G41" s="113">
        <v>0</v>
      </c>
      <c r="H41" s="1"/>
      <c r="M41" s="111"/>
      <c r="N41" s="114" t="s">
        <v>55</v>
      </c>
    </row>
    <row r="42" spans="1:14" ht="19.5" customHeight="1">
      <c r="A42" s="1"/>
      <c r="B42" s="1"/>
      <c r="C42" s="1"/>
      <c r="D42" s="1"/>
      <c r="E42" s="1"/>
      <c r="F42" s="1"/>
      <c r="G42" s="1"/>
      <c r="H42" s="1"/>
      <c r="I42" s="115" t="s">
        <v>46</v>
      </c>
      <c r="J42" s="29"/>
      <c r="K42" s="29"/>
      <c r="L42" s="29"/>
      <c r="M42" s="29"/>
      <c r="N42" s="29"/>
    </row>
    <row r="43" spans="1:17" ht="12.75">
      <c r="A43" s="2"/>
      <c r="B43" s="2"/>
      <c r="C43" s="2"/>
      <c r="D43" s="2"/>
      <c r="E43" s="2"/>
      <c r="F43" s="2"/>
      <c r="H43" s="2"/>
      <c r="P43" s="116"/>
      <c r="Q43" s="116"/>
    </row>
    <row r="44" ht="28.5" customHeight="1">
      <c r="H44" s="2"/>
    </row>
    <row r="45" ht="12.75">
      <c r="H45" s="2"/>
    </row>
    <row r="64" spans="2:7" ht="12.75">
      <c r="B64" s="11"/>
      <c r="C64" s="11"/>
      <c r="G64" s="12"/>
    </row>
  </sheetData>
  <sheetProtection/>
  <mergeCells count="14">
    <mergeCell ref="B2:G4"/>
    <mergeCell ref="B5:G5"/>
    <mergeCell ref="C6:D6"/>
    <mergeCell ref="E6:G6"/>
    <mergeCell ref="C7:D7"/>
    <mergeCell ref="E7:G7"/>
    <mergeCell ref="C8:D8"/>
    <mergeCell ref="E8:G8"/>
    <mergeCell ref="B41:F41"/>
    <mergeCell ref="I11:N11"/>
    <mergeCell ref="I17:N17"/>
    <mergeCell ref="I18:N18"/>
    <mergeCell ref="I33:L33"/>
    <mergeCell ref="M33:N3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Q5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28125" style="4" customWidth="1"/>
    <col min="2" max="6" width="11.140625" style="4" customWidth="1"/>
    <col min="7" max="7" width="11.140625" style="2" customWidth="1"/>
    <col min="8" max="8" width="6.28125" style="4" customWidth="1"/>
    <col min="9" max="9" width="15.8515625" style="2" customWidth="1"/>
    <col min="10" max="10" width="18.140625" style="2" customWidth="1"/>
    <col min="11" max="14" width="15.8515625" style="2" customWidth="1"/>
    <col min="15" max="15" width="4.57421875" style="4" customWidth="1"/>
    <col min="16" max="17" width="4.140625" style="2" customWidth="1"/>
    <col min="18" max="16384" width="9.140625" style="2" customWidth="1"/>
  </cols>
  <sheetData>
    <row r="1" spans="1:11" ht="25.5">
      <c r="A1" s="1"/>
      <c r="B1" s="1"/>
      <c r="C1" s="1"/>
      <c r="D1" s="1"/>
      <c r="E1" s="1"/>
      <c r="F1" s="1"/>
      <c r="G1" s="1"/>
      <c r="H1" s="1"/>
      <c r="I1" s="117"/>
      <c r="J1" s="3"/>
      <c r="K1" s="3"/>
    </row>
    <row r="2" spans="1:11" ht="12.75" customHeight="1">
      <c r="A2" s="1"/>
      <c r="B2" s="182" t="s">
        <v>0</v>
      </c>
      <c r="C2" s="182"/>
      <c r="D2" s="182"/>
      <c r="E2" s="182"/>
      <c r="F2" s="182"/>
      <c r="G2" s="182"/>
      <c r="H2" s="1"/>
      <c r="J2" s="3"/>
      <c r="K2" s="3"/>
    </row>
    <row r="3" spans="1:11" ht="12.75" customHeight="1">
      <c r="A3" s="1"/>
      <c r="B3" s="182"/>
      <c r="C3" s="182"/>
      <c r="D3" s="182"/>
      <c r="E3" s="182"/>
      <c r="F3" s="182"/>
      <c r="G3" s="182"/>
      <c r="H3" s="1"/>
      <c r="J3" s="3"/>
      <c r="K3" s="3"/>
    </row>
    <row r="4" spans="1:11" ht="12.75" customHeight="1">
      <c r="A4" s="1"/>
      <c r="B4" s="182"/>
      <c r="C4" s="182"/>
      <c r="D4" s="182"/>
      <c r="E4" s="182"/>
      <c r="F4" s="182"/>
      <c r="G4" s="182"/>
      <c r="H4" s="1"/>
      <c r="J4" s="3"/>
      <c r="K4" s="3"/>
    </row>
    <row r="5" spans="1:17" s="12" customFormat="1" ht="26.25">
      <c r="A5" s="5"/>
      <c r="B5" s="181" t="s">
        <v>57</v>
      </c>
      <c r="C5" s="181"/>
      <c r="D5" s="181"/>
      <c r="E5" s="181"/>
      <c r="F5" s="181"/>
      <c r="G5" s="181"/>
      <c r="H5" s="5"/>
      <c r="I5" s="6"/>
      <c r="J5" s="7" t="str">
        <f>"Peace Corps - "&amp;E6</f>
        <v>Peace Corps - Azerbaijan</v>
      </c>
      <c r="K5" s="8"/>
      <c r="L5" s="9"/>
      <c r="M5" s="10"/>
      <c r="N5" s="10"/>
      <c r="O5" s="11"/>
      <c r="P5" s="2"/>
      <c r="Q5" s="2"/>
    </row>
    <row r="6" spans="1:14" ht="18">
      <c r="A6" s="1"/>
      <c r="C6" s="187" t="s">
        <v>1</v>
      </c>
      <c r="D6" s="187"/>
      <c r="E6" s="174" t="s">
        <v>164</v>
      </c>
      <c r="F6" s="174"/>
      <c r="G6" s="174"/>
      <c r="H6" s="1"/>
      <c r="I6" s="13"/>
      <c r="J6" s="13" t="s">
        <v>48</v>
      </c>
      <c r="K6" s="13"/>
      <c r="L6" s="13"/>
      <c r="M6" s="13"/>
      <c r="N6" s="14"/>
    </row>
    <row r="7" spans="1:14" ht="32.25" customHeight="1">
      <c r="A7" s="1"/>
      <c r="C7" s="187" t="s">
        <v>2</v>
      </c>
      <c r="D7" s="187"/>
      <c r="E7" s="173" t="s">
        <v>3</v>
      </c>
      <c r="F7" s="173"/>
      <c r="G7" s="173"/>
      <c r="H7" s="1"/>
      <c r="K7" s="15" t="s">
        <v>2</v>
      </c>
      <c r="L7" s="16" t="str">
        <f>E7</f>
        <v>VolunteerName</v>
      </c>
      <c r="M7" s="17"/>
      <c r="N7" s="17"/>
    </row>
    <row r="8" spans="1:14" ht="30.75" customHeight="1">
      <c r="A8" s="1"/>
      <c r="B8" s="2"/>
      <c r="C8" s="187" t="s">
        <v>60</v>
      </c>
      <c r="D8" s="187"/>
      <c r="E8" s="173" t="s">
        <v>49</v>
      </c>
      <c r="F8" s="173"/>
      <c r="G8" s="173"/>
      <c r="H8" s="1"/>
      <c r="K8" s="15" t="s">
        <v>53</v>
      </c>
      <c r="L8" s="18" t="str">
        <f>E8</f>
        <v>Jan xx - Dec xx, 2009</v>
      </c>
      <c r="M8" s="19"/>
      <c r="N8" s="19"/>
    </row>
    <row r="9" spans="1:17" ht="15" customHeight="1" thickBot="1">
      <c r="A9" s="1"/>
      <c r="B9" s="2"/>
      <c r="C9" s="2"/>
      <c r="D9" s="2"/>
      <c r="E9" s="2"/>
      <c r="F9" s="2"/>
      <c r="H9" s="1"/>
      <c r="I9" s="20"/>
      <c r="J9" s="20"/>
      <c r="K9" s="21"/>
      <c r="L9" s="22"/>
      <c r="M9" s="23"/>
      <c r="N9" s="23"/>
      <c r="P9" s="3"/>
      <c r="Q9" s="3"/>
    </row>
    <row r="10" spans="1:17" s="12" customFormat="1" ht="25.5" customHeight="1">
      <c r="A10" s="5"/>
      <c r="B10" s="2"/>
      <c r="C10" s="2"/>
      <c r="D10" s="2"/>
      <c r="E10" s="2"/>
      <c r="F10" s="2"/>
      <c r="H10" s="5"/>
      <c r="I10" s="24" t="s">
        <v>4</v>
      </c>
      <c r="J10" s="25"/>
      <c r="K10" s="25"/>
      <c r="L10" s="25"/>
      <c r="M10" s="25"/>
      <c r="N10" s="26"/>
      <c r="O10" s="11"/>
      <c r="P10" s="2"/>
      <c r="Q10" s="27"/>
    </row>
    <row r="11" spans="1:17" ht="16.5" customHeight="1">
      <c r="A11" s="1"/>
      <c r="B11" s="2"/>
      <c r="C11" s="2"/>
      <c r="D11" s="2"/>
      <c r="E11" s="2"/>
      <c r="F11" s="2"/>
      <c r="H11" s="1"/>
      <c r="I11" s="175" t="s">
        <v>5</v>
      </c>
      <c r="J11" s="176"/>
      <c r="K11" s="176"/>
      <c r="L11" s="176"/>
      <c r="M11" s="176"/>
      <c r="N11" s="177"/>
      <c r="P11" s="3"/>
      <c r="Q11" s="3"/>
    </row>
    <row r="12" spans="1:17" s="40" customFormat="1" ht="45" customHeight="1">
      <c r="A12" s="28"/>
      <c r="B12" s="29"/>
      <c r="C12" s="29"/>
      <c r="D12" s="30" t="s">
        <v>6</v>
      </c>
      <c r="E12" s="31"/>
      <c r="F12" s="32"/>
      <c r="G12" s="33" t="s">
        <v>7</v>
      </c>
      <c r="H12" s="28"/>
      <c r="I12" s="34" t="s">
        <v>8</v>
      </c>
      <c r="J12" s="35" t="s">
        <v>9</v>
      </c>
      <c r="K12" s="36" t="s">
        <v>10</v>
      </c>
      <c r="L12" s="36" t="s">
        <v>11</v>
      </c>
      <c r="M12" s="36" t="s">
        <v>12</v>
      </c>
      <c r="N12" s="37" t="s">
        <v>56</v>
      </c>
      <c r="O12" s="38"/>
      <c r="P12" s="39"/>
      <c r="Q12" s="39"/>
    </row>
    <row r="13" spans="1:17" ht="15" customHeight="1" thickBot="1">
      <c r="A13" s="1"/>
      <c r="B13" s="2"/>
      <c r="C13" s="2"/>
      <c r="D13" s="41"/>
      <c r="E13" s="41"/>
      <c r="F13" s="42" t="s">
        <v>47</v>
      </c>
      <c r="G13" s="43">
        <v>0</v>
      </c>
      <c r="H13" s="1"/>
      <c r="I13" s="118">
        <v>40087</v>
      </c>
      <c r="J13" s="119">
        <v>40155</v>
      </c>
      <c r="K13" s="44">
        <f>+J13-I13+1</f>
        <v>69</v>
      </c>
      <c r="L13" s="129">
        <v>2.68</v>
      </c>
      <c r="M13" s="130">
        <f>ROUND(K13*L13,2)</f>
        <v>184.92</v>
      </c>
      <c r="N13" s="46" t="str">
        <f>IF($G13=0,"----",M13)</f>
        <v>----</v>
      </c>
      <c r="P13" s="3"/>
      <c r="Q13" s="3"/>
    </row>
    <row r="14" spans="1:17" ht="20.25" customHeight="1" thickBot="1">
      <c r="A14" s="1"/>
      <c r="B14" s="2"/>
      <c r="C14" s="2"/>
      <c r="D14" s="2"/>
      <c r="E14" s="2"/>
      <c r="F14" s="2"/>
      <c r="H14" s="1"/>
      <c r="I14" s="50"/>
      <c r="J14" s="51"/>
      <c r="K14" s="52"/>
      <c r="L14" s="53"/>
      <c r="M14" s="54" t="s">
        <v>13</v>
      </c>
      <c r="N14" s="55" t="str">
        <f>IF(SUM(N13:N13)=0,"----",SUM((N13:N13)))</f>
        <v>----</v>
      </c>
      <c r="P14" s="3"/>
      <c r="Q14" s="3"/>
    </row>
    <row r="15" spans="1:17" ht="15" customHeight="1" thickBot="1">
      <c r="A15" s="1"/>
      <c r="B15" s="2"/>
      <c r="C15" s="2"/>
      <c r="D15" s="2"/>
      <c r="E15" s="2"/>
      <c r="F15" s="2"/>
      <c r="H15" s="1"/>
      <c r="I15" s="20"/>
      <c r="J15" s="20"/>
      <c r="K15" s="21"/>
      <c r="L15" s="22"/>
      <c r="M15" s="23"/>
      <c r="N15" s="23"/>
      <c r="P15" s="3"/>
      <c r="Q15" s="3"/>
    </row>
    <row r="16" spans="1:17" s="12" customFormat="1" ht="25.5" customHeight="1">
      <c r="A16" s="5"/>
      <c r="B16" s="56"/>
      <c r="C16" s="56"/>
      <c r="D16" s="56"/>
      <c r="E16" s="56"/>
      <c r="F16" s="56"/>
      <c r="H16" s="5"/>
      <c r="I16" s="24" t="s">
        <v>14</v>
      </c>
      <c r="J16" s="25"/>
      <c r="K16" s="25"/>
      <c r="L16" s="25"/>
      <c r="M16" s="25"/>
      <c r="N16" s="57"/>
      <c r="O16" s="11"/>
      <c r="P16" s="2"/>
      <c r="Q16" s="2"/>
    </row>
    <row r="17" spans="1:17" ht="27" customHeight="1">
      <c r="A17" s="1"/>
      <c r="B17" s="58" t="s">
        <v>15</v>
      </c>
      <c r="C17" s="59"/>
      <c r="D17" s="60"/>
      <c r="E17" s="60"/>
      <c r="F17" s="60"/>
      <c r="G17" s="61"/>
      <c r="H17" s="1"/>
      <c r="I17" s="175" t="s">
        <v>58</v>
      </c>
      <c r="J17" s="176"/>
      <c r="K17" s="176"/>
      <c r="L17" s="176"/>
      <c r="M17" s="176"/>
      <c r="N17" s="177"/>
      <c r="Q17" s="3"/>
    </row>
    <row r="18" spans="1:17" ht="12.75">
      <c r="A18" s="1"/>
      <c r="B18" s="62" t="s">
        <v>16</v>
      </c>
      <c r="D18" s="63"/>
      <c r="E18" s="63"/>
      <c r="F18" s="63"/>
      <c r="G18" s="64"/>
      <c r="H18" s="1"/>
      <c r="I18" s="178" t="str">
        <f>"For FAFSA filers, your Untaxed Income is ---&gt; $"&amp;ROUND(SUM(B20:B24),2)</f>
        <v>For FAFSA filers, your Untaxed Income is ---&gt; $0</v>
      </c>
      <c r="J18" s="179"/>
      <c r="K18" s="179"/>
      <c r="L18" s="179"/>
      <c r="M18" s="179"/>
      <c r="N18" s="180"/>
      <c r="P18" s="3"/>
      <c r="Q18" s="3"/>
    </row>
    <row r="19" spans="1:16" s="71" customFormat="1" ht="45" customHeight="1">
      <c r="A19" s="65"/>
      <c r="B19" s="66" t="s">
        <v>17</v>
      </c>
      <c r="C19" s="67" t="s">
        <v>18</v>
      </c>
      <c r="D19" s="67" t="s">
        <v>19</v>
      </c>
      <c r="E19" s="67" t="s">
        <v>20</v>
      </c>
      <c r="F19" s="67" t="s">
        <v>21</v>
      </c>
      <c r="G19" s="67" t="s">
        <v>22</v>
      </c>
      <c r="H19" s="65"/>
      <c r="I19" s="68" t="s">
        <v>23</v>
      </c>
      <c r="J19" s="69" t="s">
        <v>24</v>
      </c>
      <c r="K19" s="36" t="s">
        <v>25</v>
      </c>
      <c r="L19" s="36" t="s">
        <v>26</v>
      </c>
      <c r="M19" s="36" t="s">
        <v>27</v>
      </c>
      <c r="N19" s="37" t="s">
        <v>56</v>
      </c>
      <c r="O19" s="70"/>
      <c r="P19" s="2"/>
    </row>
    <row r="20" spans="1:14" ht="15" customHeight="1">
      <c r="A20" s="1"/>
      <c r="B20" s="72" t="str">
        <f>IF($G20=0,"----",(K20-M20)*$G20)</f>
        <v>----</v>
      </c>
      <c r="C20" s="73">
        <v>0</v>
      </c>
      <c r="D20" s="73">
        <v>0</v>
      </c>
      <c r="E20" s="73">
        <v>0</v>
      </c>
      <c r="F20" s="73">
        <v>0</v>
      </c>
      <c r="G20" s="74">
        <f>C20+D20/29+E20/30+F20/31</f>
        <v>0</v>
      </c>
      <c r="H20" s="1"/>
      <c r="I20" s="124" t="s">
        <v>64</v>
      </c>
      <c r="J20" s="151" t="s">
        <v>88</v>
      </c>
      <c r="K20" s="135">
        <v>283</v>
      </c>
      <c r="L20" s="122">
        <v>0.13</v>
      </c>
      <c r="M20" s="126">
        <f>ROUND(K20*L20,2)</f>
        <v>36.79</v>
      </c>
      <c r="N20" s="75" t="str">
        <f>IF($G20=0,"----",M20*$G20)</f>
        <v>----</v>
      </c>
    </row>
    <row r="21" spans="1:14" ht="15" customHeight="1">
      <c r="A21" s="1"/>
      <c r="B21" s="72" t="str">
        <f>IF($G21=0,"----",(K21-M21)*$G21)</f>
        <v>----</v>
      </c>
      <c r="C21" s="73">
        <v>0</v>
      </c>
      <c r="D21" s="73">
        <v>0</v>
      </c>
      <c r="E21" s="73">
        <v>0</v>
      </c>
      <c r="F21" s="73">
        <v>0</v>
      </c>
      <c r="G21" s="74">
        <f>C21+D21/29+E21/30+F21/31</f>
        <v>0</v>
      </c>
      <c r="H21" s="1"/>
      <c r="I21" s="124" t="s">
        <v>64</v>
      </c>
      <c r="J21" s="151" t="s">
        <v>165</v>
      </c>
      <c r="K21" s="135">
        <v>255</v>
      </c>
      <c r="L21" s="122">
        <v>0.13</v>
      </c>
      <c r="M21" s="126">
        <f>ROUND(K21*L21,2)</f>
        <v>33.15</v>
      </c>
      <c r="N21" s="75" t="str">
        <f>IF($G21=0,"----",M21*$G21)</f>
        <v>----</v>
      </c>
    </row>
    <row r="22" spans="1:14" ht="15" customHeight="1">
      <c r="A22" s="1"/>
      <c r="B22" s="72" t="str">
        <f>IF($G22=0,"----",(K22-M22)*$G22)</f>
        <v>----</v>
      </c>
      <c r="C22" s="73">
        <v>0</v>
      </c>
      <c r="D22" s="73">
        <v>0</v>
      </c>
      <c r="E22" s="73">
        <v>0</v>
      </c>
      <c r="F22" s="73">
        <v>0</v>
      </c>
      <c r="G22" s="74">
        <f>C22+D22/29+E22/30+F22/31</f>
        <v>0</v>
      </c>
      <c r="H22" s="1"/>
      <c r="I22" s="124" t="s">
        <v>64</v>
      </c>
      <c r="J22" s="151" t="s">
        <v>166</v>
      </c>
      <c r="K22" s="135">
        <v>276</v>
      </c>
      <c r="L22" s="122">
        <v>0.13</v>
      </c>
      <c r="M22" s="126">
        <f>ROUND(K22*L22,2)</f>
        <v>35.88</v>
      </c>
      <c r="N22" s="75" t="str">
        <f>IF($G22=0,"----",M22*$G22)</f>
        <v>----</v>
      </c>
    </row>
    <row r="23" spans="1:14" ht="15" customHeight="1">
      <c r="A23" s="1"/>
      <c r="B23" s="72" t="str">
        <f>IF($G23=0,"----",(K23-M23)*$G23)</f>
        <v>----</v>
      </c>
      <c r="C23" s="73">
        <v>0</v>
      </c>
      <c r="D23" s="73">
        <v>0</v>
      </c>
      <c r="E23" s="73">
        <v>0</v>
      </c>
      <c r="F23" s="73">
        <v>0</v>
      </c>
      <c r="G23" s="74">
        <f>C23+D23/29+E23/30+F23/31</f>
        <v>0</v>
      </c>
      <c r="H23" s="1"/>
      <c r="I23" s="124" t="s">
        <v>64</v>
      </c>
      <c r="J23" s="151" t="s">
        <v>91</v>
      </c>
      <c r="K23" s="135">
        <v>304</v>
      </c>
      <c r="L23" s="122">
        <v>0.13</v>
      </c>
      <c r="M23" s="126">
        <f>ROUND(K23*L23,2)</f>
        <v>39.52</v>
      </c>
      <c r="N23" s="75" t="str">
        <f>IF($G23=0,"----",M23*$G23)</f>
        <v>----</v>
      </c>
    </row>
    <row r="24" spans="1:14" ht="15" customHeight="1" thickBot="1">
      <c r="A24" s="1"/>
      <c r="B24" s="72" t="str">
        <f>IF($G24=0,"----",(K24-M24)*$G24)</f>
        <v>----</v>
      </c>
      <c r="C24" s="73">
        <v>0</v>
      </c>
      <c r="D24" s="73">
        <v>0</v>
      </c>
      <c r="E24" s="73">
        <v>0</v>
      </c>
      <c r="F24" s="73">
        <v>0</v>
      </c>
      <c r="G24" s="74">
        <f>C24+D24/29+E24/30+F24/31</f>
        <v>0</v>
      </c>
      <c r="H24" s="1"/>
      <c r="I24" s="124" t="s">
        <v>64</v>
      </c>
      <c r="J24" s="151" t="s">
        <v>167</v>
      </c>
      <c r="K24" s="135">
        <v>226</v>
      </c>
      <c r="L24" s="122">
        <v>0.13</v>
      </c>
      <c r="M24" s="126">
        <f>ROUND(K24*L24,2)</f>
        <v>29.38</v>
      </c>
      <c r="N24" s="75" t="str">
        <f>IF($G24=0,"----",M24*$G24)</f>
        <v>----</v>
      </c>
    </row>
    <row r="25" spans="1:16" ht="20.25" customHeight="1" thickBot="1">
      <c r="A25" s="1"/>
      <c r="B25" s="78">
        <f>SUM(B20:B24)</f>
        <v>0</v>
      </c>
      <c r="C25" s="79"/>
      <c r="D25" s="79"/>
      <c r="E25" s="79"/>
      <c r="F25" s="79"/>
      <c r="G25" s="79"/>
      <c r="H25" s="1"/>
      <c r="I25" s="80"/>
      <c r="J25" s="52"/>
      <c r="K25" s="81"/>
      <c r="L25" s="82"/>
      <c r="M25" s="54" t="s">
        <v>29</v>
      </c>
      <c r="N25" s="83" t="str">
        <f>IF(SUM(N20:N24)=0,"----",SUM((N20:N24)))</f>
        <v>----</v>
      </c>
      <c r="P25" s="84"/>
    </row>
    <row r="26" spans="1:14" ht="15" customHeight="1" thickBot="1">
      <c r="A26" s="1"/>
      <c r="B26" s="79"/>
      <c r="C26" s="79"/>
      <c r="D26" s="79"/>
      <c r="E26" s="79"/>
      <c r="F26" s="79"/>
      <c r="H26" s="1"/>
      <c r="I26" s="85"/>
      <c r="J26" s="21"/>
      <c r="K26" s="86"/>
      <c r="L26" s="87"/>
      <c r="M26" s="23"/>
      <c r="N26" s="23"/>
    </row>
    <row r="27" spans="1:17" ht="25.5" customHeight="1">
      <c r="A27" s="1"/>
      <c r="B27" s="71"/>
      <c r="C27" s="2"/>
      <c r="D27" s="2"/>
      <c r="E27" s="2"/>
      <c r="F27" s="71"/>
      <c r="H27" s="1"/>
      <c r="I27" s="24" t="s">
        <v>30</v>
      </c>
      <c r="J27" s="25"/>
      <c r="K27" s="88"/>
      <c r="L27" s="89"/>
      <c r="M27" s="90" t="s">
        <v>31</v>
      </c>
      <c r="N27" s="26"/>
      <c r="P27" s="91"/>
      <c r="Q27" s="3"/>
    </row>
    <row r="28" spans="1:17" ht="28.5" customHeight="1">
      <c r="A28" s="1"/>
      <c r="B28" s="92" t="s">
        <v>32</v>
      </c>
      <c r="C28" s="93"/>
      <c r="D28" s="93"/>
      <c r="E28" s="94"/>
      <c r="F28" s="71"/>
      <c r="G28" s="95" t="s">
        <v>33</v>
      </c>
      <c r="H28" s="1"/>
      <c r="I28" s="175" t="s">
        <v>34</v>
      </c>
      <c r="J28" s="186"/>
      <c r="K28" s="186"/>
      <c r="L28" s="186"/>
      <c r="M28" s="184" t="s">
        <v>35</v>
      </c>
      <c r="N28" s="185"/>
      <c r="P28" s="3"/>
      <c r="Q28" s="3"/>
    </row>
    <row r="29" spans="1:17" ht="45" customHeight="1">
      <c r="A29" s="1"/>
      <c r="B29" s="67" t="s">
        <v>18</v>
      </c>
      <c r="C29" s="67" t="s">
        <v>36</v>
      </c>
      <c r="D29" s="67" t="s">
        <v>37</v>
      </c>
      <c r="E29" s="67" t="s">
        <v>38</v>
      </c>
      <c r="G29" s="67" t="s">
        <v>39</v>
      </c>
      <c r="H29" s="1"/>
      <c r="I29" s="96" t="s">
        <v>27</v>
      </c>
      <c r="J29" s="97" t="s">
        <v>56</v>
      </c>
      <c r="K29" s="3"/>
      <c r="L29" s="3"/>
      <c r="M29" s="36" t="s">
        <v>40</v>
      </c>
      <c r="N29" s="37" t="s">
        <v>56</v>
      </c>
      <c r="Q29" s="3"/>
    </row>
    <row r="30" spans="1:17" ht="15" customHeight="1" thickBot="1">
      <c r="A30" s="1"/>
      <c r="B30" s="98">
        <f>SUM(C20:C24)</f>
        <v>0</v>
      </c>
      <c r="C30" s="98">
        <f>COUNTIF(D20:F24,"&gt;=16")</f>
        <v>0</v>
      </c>
      <c r="D30" s="98">
        <f>(COUNTIF(D20:F24,"&gt;0")-C30)/2</f>
        <v>0</v>
      </c>
      <c r="E30" s="98">
        <f>SUM(B30:D30)</f>
        <v>0</v>
      </c>
      <c r="G30" s="99">
        <v>0</v>
      </c>
      <c r="H30" s="1"/>
      <c r="I30" s="100">
        <v>24</v>
      </c>
      <c r="J30" s="101" t="str">
        <f>IF(E30*I30=0,"----",E30*I30)</f>
        <v>----</v>
      </c>
      <c r="K30" s="3"/>
      <c r="L30" s="3"/>
      <c r="M30" s="102">
        <v>12</v>
      </c>
      <c r="N30" s="76" t="str">
        <f>IF($G30=0,"----",M30*$G30)</f>
        <v>----</v>
      </c>
      <c r="Q30" s="3"/>
    </row>
    <row r="31" spans="1:17" ht="15" customHeight="1" thickBot="1">
      <c r="A31" s="1"/>
      <c r="B31" s="12"/>
      <c r="C31" s="12"/>
      <c r="D31" s="12"/>
      <c r="E31" s="103"/>
      <c r="F31" s="12"/>
      <c r="G31" s="12"/>
      <c r="H31" s="1"/>
      <c r="I31" s="104"/>
      <c r="J31" s="105"/>
      <c r="K31" s="105"/>
      <c r="L31" s="106"/>
      <c r="M31" s="54" t="s">
        <v>41</v>
      </c>
      <c r="N31" s="83" t="str">
        <f>IF(SUM(J30,N30)=0,"----",SUM((J30,N30)))</f>
        <v>----</v>
      </c>
      <c r="Q31" s="3"/>
    </row>
    <row r="32" spans="1:15" s="12" customFormat="1" ht="15" customHeight="1">
      <c r="A32" s="5"/>
      <c r="E32" s="2"/>
      <c r="F32" s="2"/>
      <c r="H32" s="5"/>
      <c r="I32" s="2"/>
      <c r="J32" s="2"/>
      <c r="K32" s="2"/>
      <c r="L32" s="2"/>
      <c r="M32" s="2"/>
      <c r="N32" s="2"/>
      <c r="O32" s="11"/>
    </row>
    <row r="33" spans="1:15" s="12" customFormat="1" ht="20.25" customHeight="1">
      <c r="A33" s="5"/>
      <c r="H33" s="5"/>
      <c r="I33" s="2"/>
      <c r="J33" s="2"/>
      <c r="K33" s="2"/>
      <c r="L33" s="2"/>
      <c r="M33" s="23" t="s">
        <v>42</v>
      </c>
      <c r="N33" s="107">
        <f>SUM(N14,N25,N31)</f>
        <v>0</v>
      </c>
      <c r="O33" s="11"/>
    </row>
    <row r="34" spans="1:14" ht="15.75" thickBot="1">
      <c r="A34" s="1"/>
      <c r="B34" s="2"/>
      <c r="C34" s="2"/>
      <c r="D34" s="2"/>
      <c r="E34" s="2"/>
      <c r="F34" s="2"/>
      <c r="H34" s="1"/>
      <c r="M34" s="23" t="s">
        <v>43</v>
      </c>
      <c r="N34" s="107">
        <f>IF(G36=0,"",G36)</f>
      </c>
    </row>
    <row r="35" spans="1:14" ht="19.5" customHeight="1" thickBot="1">
      <c r="A35" s="1"/>
      <c r="B35" s="108" t="s">
        <v>44</v>
      </c>
      <c r="C35" s="109"/>
      <c r="D35" s="109"/>
      <c r="E35" s="109"/>
      <c r="F35" s="109"/>
      <c r="G35" s="110"/>
      <c r="H35" s="1"/>
      <c r="M35" s="111" t="s">
        <v>54</v>
      </c>
      <c r="N35" s="112">
        <f>IF(G36=0,"",SUM(N33:N34))</f>
      </c>
    </row>
    <row r="36" spans="1:14" ht="19.5" customHeight="1">
      <c r="A36" s="1"/>
      <c r="B36" s="183" t="s">
        <v>45</v>
      </c>
      <c r="C36" s="183"/>
      <c r="D36" s="183"/>
      <c r="E36" s="183"/>
      <c r="F36" s="183"/>
      <c r="G36" s="113">
        <v>0</v>
      </c>
      <c r="H36" s="1"/>
      <c r="M36" s="111"/>
      <c r="N36" s="114" t="s">
        <v>55</v>
      </c>
    </row>
    <row r="37" spans="1:14" ht="19.5" customHeight="1">
      <c r="A37" s="1"/>
      <c r="B37" s="1"/>
      <c r="C37" s="1"/>
      <c r="D37" s="1"/>
      <c r="E37" s="1"/>
      <c r="F37" s="1"/>
      <c r="G37" s="1"/>
      <c r="H37" s="1"/>
      <c r="I37" s="115" t="s">
        <v>46</v>
      </c>
      <c r="J37" s="29"/>
      <c r="K37" s="29"/>
      <c r="L37" s="29"/>
      <c r="M37" s="29"/>
      <c r="N37" s="29"/>
    </row>
    <row r="38" spans="1:17" ht="12.75">
      <c r="A38" s="2"/>
      <c r="B38" s="2"/>
      <c r="C38" s="2"/>
      <c r="D38" s="2"/>
      <c r="E38" s="2"/>
      <c r="F38" s="2"/>
      <c r="H38" s="2"/>
      <c r="P38" s="116"/>
      <c r="Q38" s="116"/>
    </row>
    <row r="39" ht="28.5" customHeight="1">
      <c r="H39" s="2"/>
    </row>
    <row r="40" ht="12.75">
      <c r="H40" s="2"/>
    </row>
    <row r="59" spans="2:7" ht="12.75">
      <c r="B59" s="11"/>
      <c r="C59" s="11"/>
      <c r="G59" s="12"/>
    </row>
  </sheetData>
  <sheetProtection/>
  <mergeCells count="14">
    <mergeCell ref="B36:F36"/>
    <mergeCell ref="I11:N11"/>
    <mergeCell ref="I17:N17"/>
    <mergeCell ref="I18:N18"/>
    <mergeCell ref="I28:L28"/>
    <mergeCell ref="M28:N28"/>
    <mergeCell ref="C7:D7"/>
    <mergeCell ref="E7:G7"/>
    <mergeCell ref="C8:D8"/>
    <mergeCell ref="E8:G8"/>
    <mergeCell ref="B2:G4"/>
    <mergeCell ref="B5:G5"/>
    <mergeCell ref="C6:D6"/>
    <mergeCell ref="E6:G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Peace Corps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Breslin</dc:creator>
  <cp:keywords/>
  <dc:description/>
  <cp:lastModifiedBy>mnjoku</cp:lastModifiedBy>
  <cp:lastPrinted>2009-06-08T20:55:52Z</cp:lastPrinted>
  <dcterms:created xsi:type="dcterms:W3CDTF">2009-06-08T20:50:49Z</dcterms:created>
  <dcterms:modified xsi:type="dcterms:W3CDTF">2010-02-01T22:01:52Z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